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15" yWindow="-135" windowWidth="18900" windowHeight="9240"/>
  </bookViews>
  <sheets>
    <sheet name="ASOC.ESPAÑOLA" sheetId="1" r:id="rId1"/>
    <sheet name="HOSP.EVANGÉLICO" sheetId="2" r:id="rId2"/>
    <sheet name="CASMU" sheetId="3" r:id="rId3"/>
    <sheet name="CÍRCULO CATÓLICO" sheetId="4" r:id="rId4"/>
    <sheet name="CUDAM" sheetId="5" r:id="rId5"/>
    <sheet name="COSEM" sheetId="6" r:id="rId6"/>
    <sheet name="GREMCA" sheetId="7" r:id="rId7"/>
    <sheet name="MUCAM" sheetId="8" r:id="rId8"/>
    <sheet name="SMI" sheetId="9" r:id="rId9"/>
    <sheet name="UNIVERSAL SPS" sheetId="10" r:id="rId10"/>
    <sheet name="GREMEDA" sheetId="11" r:id="rId11"/>
    <sheet name="CAAMEPA" sheetId="39" r:id="rId12"/>
    <sheet name="CRAMI" sheetId="13" r:id="rId13"/>
    <sheet name="COMECA" sheetId="14" r:id="rId14"/>
    <sheet name="CAMCEL" sheetId="15" r:id="rId15"/>
    <sheet name="CAMEC" sheetId="17" r:id="rId16"/>
    <sheet name="CAMOC" sheetId="16" r:id="rId17"/>
    <sheet name="CAMEDUR" sheetId="18" r:id="rId18"/>
    <sheet name="COMEFLO" sheetId="19" r:id="rId19"/>
    <sheet name="COMEF" sheetId="20" r:id="rId20"/>
    <sheet name="CAMDEL" sheetId="21" r:id="rId21"/>
    <sheet name="AMDM" sheetId="22" r:id="rId22"/>
    <sheet name="CRAME" sheetId="23" r:id="rId23"/>
    <sheet name="COMEPA" sheetId="24" r:id="rId24"/>
    <sheet name="AMEDRIN" sheetId="25" r:id="rId25"/>
    <sheet name="CAMY" sheetId="42" r:id="rId26"/>
    <sheet name="CASMER" sheetId="26" r:id="rId27"/>
    <sheet name="COMERI" sheetId="27" r:id="rId28"/>
    <sheet name="COMERO" sheetId="40" r:id="rId29"/>
    <sheet name="SMQSALTO" sheetId="29" r:id="rId30"/>
    <sheet name="AMSJ" sheetId="30" r:id="rId31"/>
    <sheet name="CAMS" sheetId="31" r:id="rId32"/>
    <sheet name="COMTA" sheetId="32" r:id="rId33"/>
    <sheet name="IAC" sheetId="41" r:id="rId34"/>
    <sheet name="TOTAL MONTEVIDEO" sheetId="34" r:id="rId35"/>
    <sheet name="TOTAL INTERIOR" sheetId="35" r:id="rId36"/>
    <sheet name="TOTAL PAÍS" sheetId="36"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_xlnm.Print_Area" localSheetId="7">MUCAM!$C$1:$G$181</definedName>
    <definedName name="__xlnm.Print_Titles" localSheetId="7">MUCAM!$1:$3</definedName>
    <definedName name="_xlnm.Print_Area" localSheetId="21">AMDM!$C$1:$G$181</definedName>
    <definedName name="_xlnm.Print_Area" localSheetId="24">AMEDRIN!$C$1:$G$181</definedName>
    <definedName name="_xlnm.Print_Area" localSheetId="30">AMSJ!$C$1:$G$181</definedName>
    <definedName name="_xlnm.Print_Area" localSheetId="0">ASOC.ESPAÑOLA!$C$1:$G$181</definedName>
    <definedName name="_xlnm.Print_Area" localSheetId="11">CAAMEPA!$C$1:$G$181</definedName>
    <definedName name="_xlnm.Print_Area" localSheetId="14">CAMCEL!$C$1:$G$181</definedName>
    <definedName name="_xlnm.Print_Area" localSheetId="20">CAMDEL!$C$1:$G$181</definedName>
    <definedName name="_xlnm.Print_Area" localSheetId="15">CAMEC!$C$1:$G$181</definedName>
    <definedName name="_xlnm.Print_Area" localSheetId="17">CAMEDUR!$C$1:$G$181</definedName>
    <definedName name="_xlnm.Print_Area" localSheetId="16">CAMOC!$C$1:$G$181</definedName>
    <definedName name="_xlnm.Print_Area" localSheetId="31">CAMS!$C$1:$G$181</definedName>
    <definedName name="_xlnm.Print_Area" localSheetId="25">CAMY!$C$1:$G$181</definedName>
    <definedName name="_xlnm.Print_Area" localSheetId="26">CASMER!$C$1:$G$181</definedName>
    <definedName name="_xlnm.Print_Area" localSheetId="2">CASMU!$C$1:$G$181</definedName>
    <definedName name="_xlnm.Print_Area" localSheetId="3">'CÍRCULO CATÓLICO'!$C$1:$G$181</definedName>
    <definedName name="_xlnm.Print_Area" localSheetId="13">COMECA!$C$1:$G$181</definedName>
    <definedName name="_xlnm.Print_Area" localSheetId="19">COMEF!$F$111:$G$181</definedName>
    <definedName name="_xlnm.Print_Area" localSheetId="18">COMEFLO!$C$1:$V$182</definedName>
    <definedName name="_xlnm.Print_Area" localSheetId="23">COMEPA!$C$1:$G$181</definedName>
    <definedName name="_xlnm.Print_Area" localSheetId="27">COMERI!$C$1:$G$181</definedName>
    <definedName name="_xlnm.Print_Area" localSheetId="28">COMERO!$C$1:$G$181</definedName>
    <definedName name="_xlnm.Print_Area" localSheetId="32">COMTA!$C$1:$G$181</definedName>
    <definedName name="_xlnm.Print_Area" localSheetId="5">COSEM!$C$1:$G$181</definedName>
    <definedName name="_xlnm.Print_Area" localSheetId="22">CRAME!$C$1:$G$181</definedName>
    <definedName name="_xlnm.Print_Area" localSheetId="12">CRAMI!$C$1:$G$181</definedName>
    <definedName name="_xlnm.Print_Area" localSheetId="4">CUDAM!$C$1:$G$181</definedName>
    <definedName name="_xlnm.Print_Area" localSheetId="6">GREMCA!$C$1:$G$181</definedName>
    <definedName name="_xlnm.Print_Area" localSheetId="10">GREMEDA!$C$1:$G$181</definedName>
    <definedName name="_xlnm.Print_Area" localSheetId="1">HOSP.EVANGÉLICO!$C$1:$G$181</definedName>
    <definedName name="_xlnm.Print_Area" localSheetId="33">IAC!$A$110:$H$182</definedName>
    <definedName name="_xlnm.Print_Area" localSheetId="7">MUCAM!$C$1:$G$181</definedName>
    <definedName name="_xlnm.Print_Area" localSheetId="8">SMI!$C$1:$G$181</definedName>
    <definedName name="_xlnm.Print_Area" localSheetId="29">SMQSALTO!$C$1:$G$181</definedName>
    <definedName name="_xlnm.Print_Area" localSheetId="35">'TOTAL INTERIOR'!$C$1:$G$181</definedName>
    <definedName name="_xlnm.Print_Area" localSheetId="34">'TOTAL MONTEVIDEO'!$C$1:$G$181</definedName>
    <definedName name="_xlnm.Print_Area" localSheetId="36">'TOTAL PAÍS'!$C$1:$G$181</definedName>
    <definedName name="_xlnm.Print_Area" localSheetId="9">'UNIVERSAL SPS'!$C$1:$G$181</definedName>
    <definedName name="inicioPeriodoActuala" localSheetId="11">[1]InformacionGeneral!$L$11</definedName>
    <definedName name="inicioPeriodoActuala" localSheetId="25">[1]InformacionGeneral!$L$11</definedName>
    <definedName name="inicioPeriodoActuala" localSheetId="28">[1]InformacionGeneral!$L$11</definedName>
    <definedName name="inicioPeriodoActuala" localSheetId="33">[1]InformacionGeneral!$L$11</definedName>
    <definedName name="inicioPeriodoActuala">[2]InformacionGeneral!$L$11</definedName>
    <definedName name="inicioPeriodoAnteriore" localSheetId="11">[1]InformacionGeneral!$L$12</definedName>
    <definedName name="inicioPeriodoAnteriore" localSheetId="25">[1]InformacionGeneral!$L$12</definedName>
    <definedName name="inicioPeriodoAnteriore" localSheetId="28">[1]InformacionGeneral!$L$12</definedName>
    <definedName name="inicioPeriodoAnteriore" localSheetId="33">[1]InformacionGeneral!$L$12</definedName>
    <definedName name="inicioPeriodoAnteriore">[2]InformacionGeneral!$L$12</definedName>
    <definedName name="periodoActualaa" localSheetId="11">[1]InformacionGeneral!$L$8</definedName>
    <definedName name="periodoActualaa" localSheetId="25">[1]InformacionGeneral!$L$8</definedName>
    <definedName name="periodoActualaa" localSheetId="28">[1]InformacionGeneral!$L$8</definedName>
    <definedName name="periodoActualaa" localSheetId="33">[1]InformacionGeneral!$L$8</definedName>
    <definedName name="periodoActualaa">[2]InformacionGeneral!$L$8</definedName>
    <definedName name="periodoAnteriore" localSheetId="11">[1]InformacionGeneral!$L$9</definedName>
    <definedName name="periodoAnteriore" localSheetId="25">[1]InformacionGeneral!$L$9</definedName>
    <definedName name="periodoAnteriore" localSheetId="28">[1]InformacionGeneral!$L$9</definedName>
    <definedName name="periodoAnteriore" localSheetId="33">[1]InformacionGeneral!$L$9</definedName>
    <definedName name="periodoAnteriore">[2]InformacionGeneral!$L$9</definedName>
    <definedName name="_xlnm.Print_Titles" localSheetId="21">AMDM!$1:$3</definedName>
    <definedName name="_xlnm.Print_Titles" localSheetId="24">AMEDRIN!$1:$3</definedName>
    <definedName name="_xlnm.Print_Titles" localSheetId="30">AMSJ!$1:$3</definedName>
    <definedName name="_xlnm.Print_Titles" localSheetId="0">ASOC.ESPAÑOLA!$1:$3</definedName>
    <definedName name="_xlnm.Print_Titles" localSheetId="11">CAAMEPA!$1:$3</definedName>
    <definedName name="_xlnm.Print_Titles" localSheetId="14">CAMCEL!$1:$3</definedName>
    <definedName name="_xlnm.Print_Titles" localSheetId="20">CAMDEL!$1:$3</definedName>
    <definedName name="_xlnm.Print_Titles" localSheetId="15">CAMEC!$1:$3</definedName>
    <definedName name="_xlnm.Print_Titles" localSheetId="17">CAMEDUR!$1:$3</definedName>
    <definedName name="_xlnm.Print_Titles" localSheetId="16">CAMOC!$1:$3</definedName>
    <definedName name="_xlnm.Print_Titles" localSheetId="31">CAMS!$1:$3</definedName>
    <definedName name="_xlnm.Print_Titles" localSheetId="25">CAMY!$1:$3</definedName>
    <definedName name="_xlnm.Print_Titles" localSheetId="26">CASMER!$1:$3</definedName>
    <definedName name="_xlnm.Print_Titles" localSheetId="2">CASMU!$1:$3</definedName>
    <definedName name="_xlnm.Print_Titles" localSheetId="3">'CÍRCULO CATÓLICO'!$1:$3</definedName>
    <definedName name="_xlnm.Print_Titles" localSheetId="13">COMECA!$1:$3</definedName>
    <definedName name="_xlnm.Print_Titles" localSheetId="19">COMEF!$1:$3</definedName>
    <definedName name="_xlnm.Print_Titles" localSheetId="18">COMEFLO!$1:$3</definedName>
    <definedName name="_xlnm.Print_Titles" localSheetId="23">COMEPA!$1:$3</definedName>
    <definedName name="_xlnm.Print_Titles" localSheetId="27">COMERI!$1:$3</definedName>
    <definedName name="_xlnm.Print_Titles" localSheetId="28">COMERO!$1:$3</definedName>
    <definedName name="_xlnm.Print_Titles" localSheetId="32">COMTA!$1:$3</definedName>
    <definedName name="_xlnm.Print_Titles" localSheetId="5">COSEM!$1:$3</definedName>
    <definedName name="_xlnm.Print_Titles" localSheetId="22">CRAME!$1:$3</definedName>
    <definedName name="_xlnm.Print_Titles" localSheetId="12">CRAMI!$1:$3</definedName>
    <definedName name="_xlnm.Print_Titles" localSheetId="4">CUDAM!$1:$3</definedName>
    <definedName name="_xlnm.Print_Titles" localSheetId="6">GREMCA!$1:$3</definedName>
    <definedName name="_xlnm.Print_Titles" localSheetId="10">GREMEDA!$1:$3</definedName>
    <definedName name="_xlnm.Print_Titles" localSheetId="1">HOSP.EVANGÉLICO!$1:$3</definedName>
    <definedName name="_xlnm.Print_Titles" localSheetId="33">IAC!$1:$3</definedName>
    <definedName name="_xlnm.Print_Titles" localSheetId="7">MUCAM!$1:$3</definedName>
    <definedName name="_xlnm.Print_Titles" localSheetId="8">SMI!$1:$3</definedName>
    <definedName name="_xlnm.Print_Titles" localSheetId="29">SMQSALTO!$1:$3</definedName>
    <definedName name="_xlnm.Print_Titles" localSheetId="35">'TOTAL INTERIOR'!$1:$3</definedName>
    <definedName name="_xlnm.Print_Titles" localSheetId="34">'TOTAL MONTEVIDEO'!$1:$3</definedName>
    <definedName name="_xlnm.Print_Titles" localSheetId="36">'TOTAL PAÍS'!$1:$3</definedName>
    <definedName name="_xlnm.Print_Titles" localSheetId="9">'UNIVERSAL SPS'!$1:$3</definedName>
  </definedNames>
  <calcPr calcId="144525"/>
</workbook>
</file>

<file path=xl/calcChain.xml><?xml version="1.0" encoding="utf-8"?>
<calcChain xmlns="http://schemas.openxmlformats.org/spreadsheetml/2006/main">
  <c r="G59" i="34" l="1"/>
  <c r="G60" i="34"/>
  <c r="G61" i="34"/>
  <c r="G62" i="34"/>
  <c r="G63" i="34"/>
  <c r="G64" i="34"/>
  <c r="G65" i="34"/>
  <c r="G66" i="34"/>
  <c r="G67" i="34"/>
  <c r="G68" i="34"/>
  <c r="G69" i="34"/>
  <c r="G70" i="34"/>
  <c r="G71" i="34"/>
  <c r="G72" i="34"/>
  <c r="G73" i="34"/>
  <c r="G74" i="34"/>
  <c r="G75" i="34"/>
  <c r="G76" i="34"/>
  <c r="G77" i="34"/>
  <c r="G78" i="34"/>
  <c r="G59" i="35"/>
  <c r="G60" i="35"/>
  <c r="G61" i="35"/>
  <c r="G62" i="35"/>
  <c r="G63" i="35"/>
  <c r="G64" i="35"/>
  <c r="G65" i="35"/>
  <c r="G66" i="35"/>
  <c r="G67" i="35"/>
  <c r="G68" i="35"/>
  <c r="G69" i="35"/>
  <c r="G70" i="35"/>
  <c r="G71" i="35"/>
  <c r="G72" i="35"/>
  <c r="G73" i="35"/>
  <c r="G74" i="35"/>
  <c r="G75" i="35"/>
  <c r="G76" i="35"/>
  <c r="G77" i="35"/>
  <c r="G78" i="35"/>
  <c r="G97" i="34"/>
  <c r="G98" i="34"/>
  <c r="G99" i="34"/>
  <c r="G100" i="34"/>
  <c r="G81" i="34"/>
  <c r="G82" i="34"/>
  <c r="G83" i="34"/>
  <c r="G84" i="34"/>
  <c r="G85" i="34"/>
  <c r="G86" i="34"/>
  <c r="G87" i="34"/>
  <c r="G88" i="34"/>
  <c r="G89" i="34"/>
  <c r="G90" i="34"/>
  <c r="G91" i="34"/>
  <c r="G92" i="34"/>
  <c r="G93" i="34"/>
  <c r="G94" i="34"/>
  <c r="G50" i="34"/>
  <c r="G51" i="34"/>
  <c r="G52" i="34"/>
  <c r="G53" i="34"/>
  <c r="G54" i="34"/>
  <c r="G55" i="34"/>
  <c r="G56" i="34"/>
  <c r="G42" i="34"/>
  <c r="G43" i="34"/>
  <c r="G44" i="34"/>
  <c r="G45" i="34"/>
  <c r="G46" i="34"/>
  <c r="G47" i="34"/>
  <c r="G35" i="34"/>
  <c r="G36" i="34"/>
  <c r="G37" i="34"/>
  <c r="G38" i="34"/>
  <c r="G39" i="34"/>
  <c r="G29" i="34"/>
  <c r="G30" i="34"/>
  <c r="G31" i="34"/>
  <c r="G21" i="34"/>
  <c r="G22" i="34"/>
  <c r="G23" i="34"/>
  <c r="G24" i="34"/>
  <c r="G25" i="34"/>
  <c r="G26" i="34"/>
  <c r="G8" i="34"/>
  <c r="G9" i="34"/>
  <c r="G10" i="34"/>
  <c r="G11" i="34"/>
  <c r="G12" i="34"/>
  <c r="G13" i="34"/>
  <c r="G14" i="34"/>
  <c r="G15" i="34"/>
  <c r="G16" i="34"/>
  <c r="G17" i="34"/>
  <c r="G18" i="34"/>
  <c r="G92" i="36"/>
  <c r="G178" i="42" l="1"/>
  <c r="G155" i="42"/>
  <c r="G168" i="42" s="1"/>
  <c r="G154" i="42"/>
  <c r="D152" i="42"/>
  <c r="D148" i="42"/>
  <c r="G143" i="42"/>
  <c r="G174" i="42" s="1"/>
  <c r="D143" i="42"/>
  <c r="D142" i="42"/>
  <c r="G137" i="42"/>
  <c r="G139" i="42" s="1"/>
  <c r="G140" i="42" s="1"/>
  <c r="D137" i="42"/>
  <c r="D138" i="42" s="1"/>
  <c r="D135" i="42"/>
  <c r="D126" i="42"/>
  <c r="G123" i="42"/>
  <c r="D122" i="42"/>
  <c r="G121" i="42"/>
  <c r="G111" i="42"/>
  <c r="D111" i="42"/>
  <c r="G105" i="42"/>
  <c r="G102" i="42"/>
  <c r="G101" i="42"/>
  <c r="G97" i="42"/>
  <c r="D90" i="42"/>
  <c r="G89" i="42"/>
  <c r="G95" i="42" s="1"/>
  <c r="D89" i="42"/>
  <c r="D88" i="42"/>
  <c r="D87" i="42"/>
  <c r="D86" i="42"/>
  <c r="D85" i="42"/>
  <c r="D83" i="42"/>
  <c r="D82" i="42"/>
  <c r="D81" i="42"/>
  <c r="D80" i="42"/>
  <c r="G77" i="42"/>
  <c r="D76" i="42"/>
  <c r="G75" i="42"/>
  <c r="D75" i="42"/>
  <c r="D74" i="42"/>
  <c r="D73" i="42"/>
  <c r="D72" i="42"/>
  <c r="D71" i="42"/>
  <c r="D70" i="42"/>
  <c r="D69" i="42"/>
  <c r="D68" i="42"/>
  <c r="D67" i="42"/>
  <c r="D66" i="42"/>
  <c r="G65" i="42"/>
  <c r="D65" i="42"/>
  <c r="D64" i="42"/>
  <c r="D60" i="42"/>
  <c r="G59" i="42"/>
  <c r="G79" i="42" s="1"/>
  <c r="G54" i="42"/>
  <c r="G57" i="42" s="1"/>
  <c r="D52" i="42"/>
  <c r="D42" i="42"/>
  <c r="D47" i="42" s="1"/>
  <c r="G40" i="42"/>
  <c r="D37" i="42"/>
  <c r="G33" i="42"/>
  <c r="G48" i="42" s="1"/>
  <c r="G32" i="42"/>
  <c r="D30" i="42"/>
  <c r="D29" i="42"/>
  <c r="G28" i="42"/>
  <c r="G27" i="42"/>
  <c r="G23" i="42"/>
  <c r="D22" i="42"/>
  <c r="D21" i="42"/>
  <c r="D35" i="42" s="1"/>
  <c r="D20" i="42"/>
  <c r="D53" i="42" s="1"/>
  <c r="D61" i="42" s="1"/>
  <c r="G19" i="42"/>
  <c r="D9" i="42"/>
  <c r="D6" i="42"/>
  <c r="G6" i="42" s="1"/>
  <c r="E2" i="42"/>
  <c r="E1" i="42"/>
  <c r="D77" i="42" l="1"/>
  <c r="G106" i="42"/>
  <c r="G109" i="42" s="1"/>
  <c r="D153" i="42"/>
  <c r="D91" i="42"/>
  <c r="D92" i="42" s="1"/>
  <c r="G169" i="42"/>
  <c r="G176" i="36"/>
  <c r="G177" i="36"/>
  <c r="G156" i="36"/>
  <c r="G157" i="36"/>
  <c r="G158" i="36"/>
  <c r="G159" i="36"/>
  <c r="G160" i="36"/>
  <c r="G161" i="36"/>
  <c r="G162" i="36"/>
  <c r="G163" i="36"/>
  <c r="G164" i="36"/>
  <c r="G165" i="36"/>
  <c r="G166" i="36"/>
  <c r="G167" i="36"/>
  <c r="G145" i="36"/>
  <c r="G146" i="36"/>
  <c r="G147" i="36"/>
  <c r="G148" i="36"/>
  <c r="G149" i="36"/>
  <c r="G150" i="36"/>
  <c r="G151" i="36"/>
  <c r="G152" i="36"/>
  <c r="G153" i="36"/>
  <c r="G125" i="36"/>
  <c r="G126" i="36"/>
  <c r="G127" i="36"/>
  <c r="G128" i="36"/>
  <c r="G129" i="36"/>
  <c r="G130" i="36"/>
  <c r="G131" i="36"/>
  <c r="G132" i="36"/>
  <c r="G133" i="36"/>
  <c r="G134" i="36"/>
  <c r="G135" i="36"/>
  <c r="G136" i="36"/>
  <c r="G137" i="36"/>
  <c r="G138" i="36"/>
  <c r="G113" i="36"/>
  <c r="G114" i="36"/>
  <c r="G115" i="36"/>
  <c r="G116" i="36"/>
  <c r="G117" i="36"/>
  <c r="G118" i="36"/>
  <c r="G119" i="36"/>
  <c r="G120" i="36"/>
  <c r="G121" i="36"/>
  <c r="G122" i="36"/>
  <c r="G104" i="36"/>
  <c r="G97" i="36"/>
  <c r="G98" i="36"/>
  <c r="G99" i="36"/>
  <c r="G100" i="36"/>
  <c r="G81" i="36"/>
  <c r="G82" i="36"/>
  <c r="G83" i="36"/>
  <c r="G84" i="36"/>
  <c r="G85" i="36"/>
  <c r="G86" i="36"/>
  <c r="G87" i="36"/>
  <c r="G88" i="36"/>
  <c r="G89" i="36"/>
  <c r="G90" i="36"/>
  <c r="G91" i="36"/>
  <c r="G93" i="36"/>
  <c r="G94" i="36"/>
  <c r="G59" i="36"/>
  <c r="G60" i="36"/>
  <c r="G61" i="36"/>
  <c r="G62" i="36"/>
  <c r="G63" i="36"/>
  <c r="G64" i="36"/>
  <c r="G65" i="36"/>
  <c r="G66" i="36"/>
  <c r="G67" i="36"/>
  <c r="G68" i="36"/>
  <c r="G69" i="36"/>
  <c r="G70" i="36"/>
  <c r="G71" i="36"/>
  <c r="G72" i="36"/>
  <c r="G73" i="36"/>
  <c r="G74" i="36"/>
  <c r="G75" i="36"/>
  <c r="G76" i="36"/>
  <c r="G77" i="36"/>
  <c r="G78" i="36"/>
  <c r="G50" i="36"/>
  <c r="G51" i="36"/>
  <c r="G52" i="36"/>
  <c r="G53" i="36"/>
  <c r="G54" i="36"/>
  <c r="G55" i="36"/>
  <c r="G56" i="36"/>
  <c r="G42" i="36"/>
  <c r="G43" i="36"/>
  <c r="G44" i="36"/>
  <c r="G45" i="36"/>
  <c r="G46" i="36"/>
  <c r="G47" i="36"/>
  <c r="G35" i="36"/>
  <c r="G36" i="36"/>
  <c r="G37" i="36"/>
  <c r="G38" i="36"/>
  <c r="G39" i="36"/>
  <c r="G29" i="36"/>
  <c r="G30" i="36"/>
  <c r="G31" i="36"/>
  <c r="G21" i="36"/>
  <c r="G22" i="36"/>
  <c r="G23" i="36"/>
  <c r="G24" i="36"/>
  <c r="G25" i="36"/>
  <c r="G26" i="36"/>
  <c r="G8" i="36"/>
  <c r="G9" i="36"/>
  <c r="G10" i="36"/>
  <c r="G11" i="36"/>
  <c r="G12" i="36"/>
  <c r="G13" i="36"/>
  <c r="G14" i="36"/>
  <c r="G15" i="36"/>
  <c r="G16" i="36"/>
  <c r="G17" i="36"/>
  <c r="G18" i="36"/>
  <c r="D150" i="36"/>
  <c r="D151" i="36"/>
  <c r="D144" i="36"/>
  <c r="D145" i="36"/>
  <c r="D146" i="36"/>
  <c r="D147" i="36"/>
  <c r="D140" i="36"/>
  <c r="D141" i="36"/>
  <c r="D128" i="36"/>
  <c r="D129" i="36"/>
  <c r="D130" i="36"/>
  <c r="D131" i="36"/>
  <c r="D132" i="36"/>
  <c r="D133" i="36"/>
  <c r="D134" i="36"/>
  <c r="D135" i="36"/>
  <c r="D136" i="36"/>
  <c r="D137" i="36"/>
  <c r="D124" i="36"/>
  <c r="D125" i="36"/>
  <c r="D113" i="36"/>
  <c r="D114" i="36"/>
  <c r="D115" i="36"/>
  <c r="D116" i="36"/>
  <c r="D117" i="36"/>
  <c r="D118" i="36"/>
  <c r="D119" i="36"/>
  <c r="D120" i="36"/>
  <c r="D121" i="36"/>
  <c r="D57" i="36"/>
  <c r="D58" i="36"/>
  <c r="D59" i="36"/>
  <c r="D50" i="36"/>
  <c r="D51" i="36"/>
  <c r="D37" i="36"/>
  <c r="D38" i="36"/>
  <c r="D39" i="36"/>
  <c r="D40" i="36"/>
  <c r="D41" i="36"/>
  <c r="D42" i="36"/>
  <c r="D43" i="36"/>
  <c r="D44" i="36"/>
  <c r="D45" i="36"/>
  <c r="D46" i="36"/>
  <c r="D31" i="36"/>
  <c r="D32" i="36"/>
  <c r="D33" i="36"/>
  <c r="D34" i="36"/>
  <c r="D23" i="36"/>
  <c r="D24" i="36"/>
  <c r="D25" i="36"/>
  <c r="D26" i="36"/>
  <c r="D27" i="36"/>
  <c r="D28" i="36"/>
  <c r="D14" i="36"/>
  <c r="D15" i="36"/>
  <c r="D16" i="36"/>
  <c r="D17" i="36"/>
  <c r="D18" i="36"/>
  <c r="D19" i="36"/>
  <c r="D8" i="36"/>
  <c r="D9" i="36"/>
  <c r="D10" i="36"/>
  <c r="D11" i="36"/>
  <c r="D12" i="36"/>
  <c r="G155" i="36"/>
  <c r="G144" i="36"/>
  <c r="G124" i="36"/>
  <c r="G112" i="36"/>
  <c r="G103" i="36"/>
  <c r="G96" i="36"/>
  <c r="G80" i="36"/>
  <c r="G58" i="36"/>
  <c r="G49" i="36"/>
  <c r="G41" i="36"/>
  <c r="G34" i="36"/>
  <c r="G28" i="36"/>
  <c r="G20" i="36"/>
  <c r="G7" i="36"/>
  <c r="D149" i="36"/>
  <c r="D139" i="36"/>
  <c r="D127" i="36"/>
  <c r="D123" i="36"/>
  <c r="D112" i="36"/>
  <c r="D56" i="36"/>
  <c r="D49" i="36"/>
  <c r="D36" i="36"/>
  <c r="D30" i="36"/>
  <c r="D22" i="36"/>
  <c r="D13" i="36"/>
  <c r="D7" i="36"/>
  <c r="G176" i="35"/>
  <c r="G177" i="35"/>
  <c r="G156" i="35"/>
  <c r="G157" i="35"/>
  <c r="G158" i="35"/>
  <c r="G159" i="35"/>
  <c r="G160" i="35"/>
  <c r="G161" i="35"/>
  <c r="G162" i="35"/>
  <c r="G163" i="35"/>
  <c r="G164" i="35"/>
  <c r="G165" i="35"/>
  <c r="G166" i="35"/>
  <c r="G167" i="35"/>
  <c r="G145" i="35"/>
  <c r="G146" i="35"/>
  <c r="G147" i="35"/>
  <c r="G148" i="35"/>
  <c r="G149" i="35"/>
  <c r="G150" i="35"/>
  <c r="G151" i="35"/>
  <c r="G152" i="35"/>
  <c r="G153" i="35"/>
  <c r="G125" i="35"/>
  <c r="G126" i="35"/>
  <c r="G127" i="35"/>
  <c r="G128" i="35"/>
  <c r="G129" i="35"/>
  <c r="G130" i="35"/>
  <c r="G131" i="35"/>
  <c r="G132" i="35"/>
  <c r="G133" i="35"/>
  <c r="G134" i="35"/>
  <c r="G135" i="35"/>
  <c r="G136" i="35"/>
  <c r="G137" i="35"/>
  <c r="G138" i="35"/>
  <c r="G113" i="35"/>
  <c r="G114" i="35"/>
  <c r="G115" i="35"/>
  <c r="G116" i="35"/>
  <c r="G117" i="35"/>
  <c r="G118" i="35"/>
  <c r="G119" i="35"/>
  <c r="G120" i="35"/>
  <c r="G121" i="35"/>
  <c r="G122" i="35"/>
  <c r="G104" i="35"/>
  <c r="G97" i="35"/>
  <c r="G98" i="35"/>
  <c r="G99" i="35"/>
  <c r="G100" i="35"/>
  <c r="G81" i="35"/>
  <c r="G82" i="35"/>
  <c r="G83" i="35"/>
  <c r="G84" i="35"/>
  <c r="G85" i="35"/>
  <c r="G86" i="35"/>
  <c r="G87" i="35"/>
  <c r="G88" i="35"/>
  <c r="G89" i="35"/>
  <c r="G90" i="35"/>
  <c r="G91" i="35"/>
  <c r="G92" i="35"/>
  <c r="G93" i="35"/>
  <c r="G94" i="35"/>
  <c r="G50" i="35"/>
  <c r="G51" i="35"/>
  <c r="G52" i="35"/>
  <c r="G53" i="35"/>
  <c r="G54" i="35"/>
  <c r="G55" i="35"/>
  <c r="G56" i="35"/>
  <c r="G42" i="35"/>
  <c r="G43" i="35"/>
  <c r="G44" i="35"/>
  <c r="G45" i="35"/>
  <c r="G46" i="35"/>
  <c r="G47" i="35"/>
  <c r="G35" i="35"/>
  <c r="G36" i="35"/>
  <c r="G37" i="35"/>
  <c r="G38" i="35"/>
  <c r="G39" i="35"/>
  <c r="G29" i="35"/>
  <c r="G30" i="35"/>
  <c r="G31" i="35"/>
  <c r="G21" i="35"/>
  <c r="G22" i="35"/>
  <c r="G23" i="35"/>
  <c r="G24" i="35"/>
  <c r="G25" i="35"/>
  <c r="G26" i="35"/>
  <c r="G8" i="35"/>
  <c r="G9" i="35"/>
  <c r="G10" i="35"/>
  <c r="G11" i="35"/>
  <c r="G12" i="35"/>
  <c r="G13" i="35"/>
  <c r="G14" i="35"/>
  <c r="G15" i="35"/>
  <c r="G16" i="35"/>
  <c r="G17" i="35"/>
  <c r="G18" i="35"/>
  <c r="D150" i="35"/>
  <c r="D151" i="35"/>
  <c r="D145" i="35"/>
  <c r="D146" i="35"/>
  <c r="D147" i="35"/>
  <c r="D140" i="35"/>
  <c r="D141" i="35"/>
  <c r="D128" i="35"/>
  <c r="D129" i="35"/>
  <c r="D130" i="35"/>
  <c r="D131" i="35"/>
  <c r="D132" i="35"/>
  <c r="D133" i="35"/>
  <c r="D134" i="35"/>
  <c r="D135" i="35"/>
  <c r="D136" i="35"/>
  <c r="D137" i="35"/>
  <c r="D124" i="35"/>
  <c r="D125" i="35"/>
  <c r="D113" i="35"/>
  <c r="D114" i="35"/>
  <c r="D115" i="35"/>
  <c r="D116" i="35"/>
  <c r="D117" i="35"/>
  <c r="D118" i="35"/>
  <c r="D119" i="35"/>
  <c r="D120" i="35"/>
  <c r="D121" i="35"/>
  <c r="D57" i="35"/>
  <c r="D58" i="35"/>
  <c r="D59" i="35"/>
  <c r="D50" i="35"/>
  <c r="D51" i="35"/>
  <c r="D37" i="35"/>
  <c r="D38" i="35"/>
  <c r="D39" i="35"/>
  <c r="D40" i="35"/>
  <c r="D41" i="35"/>
  <c r="D42" i="35"/>
  <c r="D43" i="35"/>
  <c r="D44" i="35"/>
  <c r="D45" i="35"/>
  <c r="D46" i="35"/>
  <c r="D31" i="35"/>
  <c r="D32" i="35"/>
  <c r="D33" i="35"/>
  <c r="D34" i="35"/>
  <c r="D23" i="35"/>
  <c r="D24" i="35"/>
  <c r="D25" i="35"/>
  <c r="D26" i="35"/>
  <c r="D27" i="35"/>
  <c r="D28" i="35"/>
  <c r="D14" i="35"/>
  <c r="D15" i="35"/>
  <c r="D16" i="35"/>
  <c r="D17" i="35"/>
  <c r="D18" i="35"/>
  <c r="D19" i="35"/>
  <c r="D8" i="35"/>
  <c r="D9" i="35"/>
  <c r="D10" i="35"/>
  <c r="D11" i="35"/>
  <c r="D12" i="35"/>
  <c r="G155" i="35"/>
  <c r="G144" i="35"/>
  <c r="G124" i="35"/>
  <c r="G112" i="35"/>
  <c r="G103" i="35"/>
  <c r="G96" i="35"/>
  <c r="G80" i="35"/>
  <c r="G58" i="35"/>
  <c r="G49" i="35"/>
  <c r="G41" i="35"/>
  <c r="G34" i="35"/>
  <c r="G28" i="35"/>
  <c r="G20" i="35"/>
  <c r="G7" i="35"/>
  <c r="D149" i="35"/>
  <c r="D144" i="35"/>
  <c r="D139" i="35"/>
  <c r="D127" i="35"/>
  <c r="D123" i="35"/>
  <c r="D112" i="35"/>
  <c r="D56" i="35"/>
  <c r="D49" i="35"/>
  <c r="D36" i="35"/>
  <c r="D30" i="35"/>
  <c r="D22" i="35"/>
  <c r="D13" i="35"/>
  <c r="D7" i="35"/>
  <c r="G178" i="41"/>
  <c r="G169" i="41"/>
  <c r="G168" i="41"/>
  <c r="G154" i="41"/>
  <c r="D152" i="41"/>
  <c r="D148" i="41"/>
  <c r="G143" i="41"/>
  <c r="G174" i="41" s="1"/>
  <c r="D143" i="41"/>
  <c r="D142" i="41"/>
  <c r="G139" i="41"/>
  <c r="D138" i="41"/>
  <c r="D153" i="41" s="1"/>
  <c r="D126" i="41"/>
  <c r="D122" i="41"/>
  <c r="G121" i="41"/>
  <c r="G123" i="41" s="1"/>
  <c r="G140" i="41" s="1"/>
  <c r="G111" i="41"/>
  <c r="D111" i="41"/>
  <c r="G105" i="41"/>
  <c r="G102" i="41"/>
  <c r="G101" i="41"/>
  <c r="G95" i="41"/>
  <c r="D90" i="41"/>
  <c r="D89" i="41"/>
  <c r="D88" i="41"/>
  <c r="D87" i="41"/>
  <c r="D86" i="41"/>
  <c r="D85" i="41"/>
  <c r="D83" i="41"/>
  <c r="D82" i="41"/>
  <c r="D81" i="41"/>
  <c r="D80" i="41"/>
  <c r="G79" i="41"/>
  <c r="D76" i="41"/>
  <c r="D75" i="41"/>
  <c r="D74" i="41"/>
  <c r="D73" i="41"/>
  <c r="D72" i="41"/>
  <c r="D71" i="41"/>
  <c r="D70" i="41"/>
  <c r="D69" i="41"/>
  <c r="D68" i="41"/>
  <c r="D67" i="41"/>
  <c r="D66" i="41"/>
  <c r="D65" i="41"/>
  <c r="D64" i="41"/>
  <c r="D60" i="41"/>
  <c r="G57" i="41"/>
  <c r="D52" i="41"/>
  <c r="D50" i="41"/>
  <c r="D47" i="41"/>
  <c r="G40" i="41"/>
  <c r="G33" i="41"/>
  <c r="G48" i="41" s="1"/>
  <c r="G32" i="41"/>
  <c r="D29" i="41"/>
  <c r="G27" i="41"/>
  <c r="D21" i="41"/>
  <c r="D35" i="41" s="1"/>
  <c r="D20" i="41"/>
  <c r="D53" i="41" s="1"/>
  <c r="D61" i="41" s="1"/>
  <c r="G19" i="41"/>
  <c r="D9" i="41"/>
  <c r="D6" i="41"/>
  <c r="G6" i="41" s="1"/>
  <c r="E2" i="41"/>
  <c r="E1" i="41"/>
  <c r="D155" i="42" l="1"/>
  <c r="G172" i="42"/>
  <c r="G181" i="42" s="1"/>
  <c r="D91" i="41"/>
  <c r="G106" i="41"/>
  <c r="G109" i="41" s="1"/>
  <c r="D155" i="41" s="1"/>
  <c r="G172" i="41" s="1"/>
  <c r="G181" i="41" s="1"/>
  <c r="D77" i="41"/>
  <c r="D92" i="41" l="1"/>
  <c r="G175" i="40"/>
  <c r="G167" i="40"/>
  <c r="G156" i="40"/>
  <c r="G168" i="40" s="1"/>
  <c r="G152" i="40"/>
  <c r="D152" i="40"/>
  <c r="G151" i="40"/>
  <c r="G154" i="40" s="1"/>
  <c r="D147" i="40"/>
  <c r="D145" i="40"/>
  <c r="G143" i="40"/>
  <c r="G174" i="40" s="1"/>
  <c r="D143" i="40"/>
  <c r="D142" i="40"/>
  <c r="G137" i="40"/>
  <c r="G139" i="40" s="1"/>
  <c r="D137" i="40"/>
  <c r="D136" i="40"/>
  <c r="D126" i="40"/>
  <c r="G123" i="40"/>
  <c r="D122" i="40"/>
  <c r="G111" i="40"/>
  <c r="D111" i="40"/>
  <c r="G105" i="40"/>
  <c r="G102" i="40"/>
  <c r="G101" i="40"/>
  <c r="D90" i="40"/>
  <c r="D89" i="40"/>
  <c r="D88" i="40"/>
  <c r="D87" i="40"/>
  <c r="D86" i="40"/>
  <c r="D85" i="40"/>
  <c r="D83" i="40"/>
  <c r="G82" i="40"/>
  <c r="G95" i="40" s="1"/>
  <c r="D82" i="40"/>
  <c r="D81" i="40"/>
  <c r="D80" i="40"/>
  <c r="G77" i="40"/>
  <c r="G76" i="40"/>
  <c r="D76" i="40"/>
  <c r="D75" i="40"/>
  <c r="D74" i="40"/>
  <c r="D73" i="40"/>
  <c r="D72" i="40"/>
  <c r="D71" i="40"/>
  <c r="D70" i="40"/>
  <c r="D69" i="40"/>
  <c r="D68" i="40"/>
  <c r="D67" i="40"/>
  <c r="D66" i="40"/>
  <c r="D65" i="40"/>
  <c r="D64" i="40"/>
  <c r="G61" i="40"/>
  <c r="G59" i="40"/>
  <c r="D56" i="40"/>
  <c r="D60" i="40" s="1"/>
  <c r="G53" i="40"/>
  <c r="G57" i="40" s="1"/>
  <c r="D52" i="40"/>
  <c r="G40" i="40"/>
  <c r="G39" i="40"/>
  <c r="G33" i="40" s="1"/>
  <c r="G48" i="40" s="1"/>
  <c r="D37" i="40"/>
  <c r="D47" i="40" s="1"/>
  <c r="G32" i="40"/>
  <c r="D29" i="40"/>
  <c r="G27" i="40"/>
  <c r="D27" i="40"/>
  <c r="D21" i="40" s="1"/>
  <c r="D20" i="40"/>
  <c r="G19" i="40"/>
  <c r="D6" i="40"/>
  <c r="G6" i="40" s="1"/>
  <c r="E2" i="40"/>
  <c r="E1" i="40"/>
  <c r="G178" i="40" l="1"/>
  <c r="G175" i="35"/>
  <c r="G175" i="36"/>
  <c r="G79" i="40"/>
  <c r="D35" i="40"/>
  <c r="G140" i="40"/>
  <c r="D91" i="40"/>
  <c r="D53" i="40"/>
  <c r="D61" i="40" s="1"/>
  <c r="D77" i="40"/>
  <c r="D138" i="40"/>
  <c r="D148" i="40"/>
  <c r="G106" i="40"/>
  <c r="G109" i="40" s="1"/>
  <c r="G169" i="40"/>
  <c r="D153" i="40" l="1"/>
  <c r="D155" i="40" s="1"/>
  <c r="G172" i="40" s="1"/>
  <c r="G181" i="40" s="1"/>
  <c r="D92" i="40"/>
  <c r="E1" i="39"/>
  <c r="E2" i="39"/>
  <c r="D6" i="39"/>
  <c r="G6" i="39" s="1"/>
  <c r="G19" i="39"/>
  <c r="G27" i="39"/>
  <c r="G32" i="39"/>
  <c r="D52" i="39"/>
  <c r="G57" i="39"/>
  <c r="D60" i="39"/>
  <c r="D64" i="39"/>
  <c r="D65" i="39"/>
  <c r="D66" i="39"/>
  <c r="D67" i="39"/>
  <c r="D68" i="39"/>
  <c r="D69" i="39"/>
  <c r="D70" i="39"/>
  <c r="D71" i="39"/>
  <c r="D72" i="39"/>
  <c r="D73" i="39"/>
  <c r="D74" i="39"/>
  <c r="D75" i="39"/>
  <c r="D76" i="39"/>
  <c r="D80" i="39"/>
  <c r="D81" i="39"/>
  <c r="D82" i="39"/>
  <c r="D83" i="39"/>
  <c r="D85" i="39"/>
  <c r="D86" i="39"/>
  <c r="D87" i="39"/>
  <c r="D88" i="39"/>
  <c r="D89" i="39"/>
  <c r="D90" i="39"/>
  <c r="G102" i="39"/>
  <c r="G105" i="39"/>
  <c r="D111" i="39"/>
  <c r="G111" i="39"/>
  <c r="D122" i="39"/>
  <c r="D142" i="39"/>
  <c r="D143" i="39"/>
  <c r="G143" i="39"/>
  <c r="G174" i="39" s="1"/>
  <c r="D148" i="39"/>
  <c r="D152" i="39"/>
  <c r="G178" i="39"/>
  <c r="D20" i="39" l="1"/>
  <c r="G154" i="39"/>
  <c r="D126" i="39"/>
  <c r="D77" i="39"/>
  <c r="D21" i="39"/>
  <c r="G139" i="39"/>
  <c r="D47" i="39"/>
  <c r="G101" i="39"/>
  <c r="G40" i="39"/>
  <c r="D29" i="39"/>
  <c r="G168" i="39"/>
  <c r="G169" i="39" s="1"/>
  <c r="G79" i="39"/>
  <c r="D138" i="39"/>
  <c r="G123" i="39"/>
  <c r="G140" i="39" s="1"/>
  <c r="G95" i="39"/>
  <c r="D91" i="39"/>
  <c r="G33" i="39"/>
  <c r="D35" i="39"/>
  <c r="D92" i="39" l="1"/>
  <c r="D153" i="39"/>
  <c r="D53" i="39"/>
  <c r="D61" i="39" s="1"/>
  <c r="G48" i="39"/>
  <c r="G106" i="39" s="1"/>
  <c r="G109" i="39" l="1"/>
  <c r="D155" i="39" s="1"/>
  <c r="G172" i="39" s="1"/>
  <c r="G181" i="39" s="1"/>
  <c r="D143" i="35" l="1"/>
  <c r="D143" i="36"/>
  <c r="G102" i="36"/>
  <c r="G102" i="35"/>
  <c r="G176" i="34"/>
  <c r="G157" i="34"/>
  <c r="G158" i="34"/>
  <c r="G159" i="34"/>
  <c r="G160" i="34"/>
  <c r="G162" i="34"/>
  <c r="G163" i="34"/>
  <c r="G164" i="34"/>
  <c r="G165" i="34"/>
  <c r="G145" i="34"/>
  <c r="G146" i="34"/>
  <c r="G147" i="34"/>
  <c r="G148" i="34"/>
  <c r="G149" i="34"/>
  <c r="G150" i="34"/>
  <c r="G151" i="34"/>
  <c r="G152" i="34"/>
  <c r="G153" i="34"/>
  <c r="G125" i="34"/>
  <c r="G126" i="34"/>
  <c r="G127" i="34"/>
  <c r="G128" i="34"/>
  <c r="G130" i="34"/>
  <c r="G131" i="34"/>
  <c r="G132" i="34"/>
  <c r="G133" i="34"/>
  <c r="G134" i="34"/>
  <c r="G135" i="34"/>
  <c r="G136" i="34"/>
  <c r="G137" i="34"/>
  <c r="G138" i="34"/>
  <c r="G113" i="34"/>
  <c r="G114" i="34"/>
  <c r="G115" i="34"/>
  <c r="G116" i="34"/>
  <c r="G118" i="34"/>
  <c r="G119" i="34"/>
  <c r="G120" i="34"/>
  <c r="G122" i="34"/>
  <c r="G104" i="34"/>
  <c r="D150" i="34"/>
  <c r="D151" i="34"/>
  <c r="D145" i="34"/>
  <c r="D146" i="34"/>
  <c r="D147" i="34"/>
  <c r="D140" i="34"/>
  <c r="D141" i="34"/>
  <c r="D129" i="34"/>
  <c r="D130" i="34"/>
  <c r="D131" i="34"/>
  <c r="D132" i="34"/>
  <c r="D133" i="34"/>
  <c r="D124" i="34"/>
  <c r="D125" i="34"/>
  <c r="D114" i="34"/>
  <c r="D117" i="34"/>
  <c r="D118" i="34"/>
  <c r="D119" i="34"/>
  <c r="D120" i="34"/>
  <c r="D57" i="34"/>
  <c r="D58" i="34"/>
  <c r="D59" i="34"/>
  <c r="D37" i="34"/>
  <c r="D38" i="34"/>
  <c r="D39" i="34"/>
  <c r="D40" i="34"/>
  <c r="D41" i="34"/>
  <c r="D43" i="34"/>
  <c r="D44" i="34"/>
  <c r="D31" i="34"/>
  <c r="D32" i="34"/>
  <c r="D34" i="34"/>
  <c r="D23" i="34"/>
  <c r="D24" i="34"/>
  <c r="D25" i="34"/>
  <c r="D28" i="34"/>
  <c r="D14" i="34"/>
  <c r="D15" i="34"/>
  <c r="D16" i="34"/>
  <c r="D17" i="34"/>
  <c r="D18" i="34"/>
  <c r="D19" i="34"/>
  <c r="D9" i="34"/>
  <c r="D10" i="34"/>
  <c r="D11" i="34"/>
  <c r="D12" i="34"/>
  <c r="G175" i="34"/>
  <c r="G155" i="34"/>
  <c r="G124" i="34"/>
  <c r="G112" i="34"/>
  <c r="G103" i="34"/>
  <c r="G96" i="34"/>
  <c r="G80" i="34"/>
  <c r="G58" i="34"/>
  <c r="G41" i="34"/>
  <c r="G34" i="34"/>
  <c r="G28" i="34"/>
  <c r="G20" i="34"/>
  <c r="G7" i="34"/>
  <c r="D144" i="34"/>
  <c r="D139" i="34"/>
  <c r="D127" i="34"/>
  <c r="D123" i="34"/>
  <c r="D56" i="34"/>
  <c r="D49" i="34"/>
  <c r="D30" i="34"/>
  <c r="D13" i="34"/>
  <c r="G143" i="36"/>
  <c r="G174" i="36" s="1"/>
  <c r="G111" i="36"/>
  <c r="D111" i="36"/>
  <c r="D90" i="36"/>
  <c r="D89" i="36"/>
  <c r="D88" i="36"/>
  <c r="D87" i="36"/>
  <c r="D86" i="36"/>
  <c r="D85" i="36"/>
  <c r="D83" i="36"/>
  <c r="D82" i="36"/>
  <c r="D81" i="36"/>
  <c r="D80" i="36"/>
  <c r="D76" i="36"/>
  <c r="D75" i="36"/>
  <c r="D74" i="36"/>
  <c r="D73" i="36"/>
  <c r="D72" i="36"/>
  <c r="D71" i="36"/>
  <c r="D70" i="36"/>
  <c r="D69" i="36"/>
  <c r="D68" i="36"/>
  <c r="D67" i="36"/>
  <c r="D66" i="36"/>
  <c r="D65" i="36"/>
  <c r="D64" i="36"/>
  <c r="D6" i="36"/>
  <c r="G6" i="36" s="1"/>
  <c r="G143" i="35"/>
  <c r="G174" i="35" s="1"/>
  <c r="G111" i="35"/>
  <c r="D111" i="35"/>
  <c r="D90" i="35"/>
  <c r="D89" i="35"/>
  <c r="D88" i="35"/>
  <c r="D87" i="35"/>
  <c r="D86" i="35"/>
  <c r="D85" i="35"/>
  <c r="D83" i="35"/>
  <c r="D82" i="35"/>
  <c r="D81" i="35"/>
  <c r="D80" i="35"/>
  <c r="D76" i="35"/>
  <c r="D75" i="35"/>
  <c r="D74" i="35"/>
  <c r="D73" i="35"/>
  <c r="D72" i="35"/>
  <c r="D71" i="35"/>
  <c r="D70" i="35"/>
  <c r="D69" i="35"/>
  <c r="D68" i="35"/>
  <c r="D67" i="35"/>
  <c r="D66" i="35"/>
  <c r="D65" i="35"/>
  <c r="D64" i="35"/>
  <c r="D6" i="35"/>
  <c r="G6" i="35" s="1"/>
  <c r="G143" i="34"/>
  <c r="G174" i="34" s="1"/>
  <c r="G111" i="34"/>
  <c r="D111" i="34"/>
  <c r="D90" i="34"/>
  <c r="D89" i="34"/>
  <c r="D88" i="34"/>
  <c r="D87" i="34"/>
  <c r="D86" i="34"/>
  <c r="D85" i="34"/>
  <c r="D83" i="34"/>
  <c r="D82" i="34"/>
  <c r="D81" i="34"/>
  <c r="D80" i="34"/>
  <c r="D76" i="34"/>
  <c r="D75" i="34"/>
  <c r="D74" i="34"/>
  <c r="D73" i="34"/>
  <c r="D72" i="34"/>
  <c r="D71" i="34"/>
  <c r="D70" i="34"/>
  <c r="D69" i="34"/>
  <c r="D68" i="34"/>
  <c r="D67" i="34"/>
  <c r="D66" i="34"/>
  <c r="D65" i="34"/>
  <c r="D64" i="34"/>
  <c r="D6" i="34"/>
  <c r="G6" i="34" s="1"/>
  <c r="D77" i="35" l="1"/>
  <c r="D77" i="36"/>
  <c r="G33" i="34"/>
  <c r="D142" i="34"/>
  <c r="D60" i="34"/>
  <c r="G105" i="36"/>
  <c r="D91" i="35"/>
  <c r="D77" i="34"/>
  <c r="D91" i="34"/>
  <c r="D91" i="36"/>
  <c r="G105" i="35"/>
  <c r="G105" i="34"/>
  <c r="G40" i="34"/>
  <c r="G32" i="34"/>
  <c r="D148" i="34"/>
  <c r="D126" i="34"/>
  <c r="D92" i="35" l="1"/>
  <c r="D92" i="36"/>
  <c r="D92" i="34"/>
  <c r="G48" i="34"/>
  <c r="G178" i="32" l="1"/>
  <c r="G167" i="32"/>
  <c r="G166" i="32"/>
  <c r="G160" i="32"/>
  <c r="G156" i="32"/>
  <c r="G153" i="32"/>
  <c r="G152" i="32"/>
  <c r="D152" i="32"/>
  <c r="G151" i="32"/>
  <c r="D147" i="32"/>
  <c r="G146" i="32"/>
  <c r="G145" i="32"/>
  <c r="G144" i="32"/>
  <c r="D144" i="32"/>
  <c r="D148" i="32" s="1"/>
  <c r="G143" i="32"/>
  <c r="G174" i="32" s="1"/>
  <c r="D143" i="32"/>
  <c r="D141" i="32"/>
  <c r="D140" i="32"/>
  <c r="G137" i="32"/>
  <c r="D137" i="32"/>
  <c r="D136" i="32"/>
  <c r="D135" i="32"/>
  <c r="D134" i="32"/>
  <c r="D133" i="32"/>
  <c r="D132" i="32"/>
  <c r="D131" i="32"/>
  <c r="G129" i="32"/>
  <c r="G139" i="32" s="1"/>
  <c r="D129" i="32"/>
  <c r="D128" i="32"/>
  <c r="D127" i="32"/>
  <c r="D126" i="32"/>
  <c r="G122" i="32"/>
  <c r="G121" i="32"/>
  <c r="D121" i="32"/>
  <c r="G116" i="32"/>
  <c r="D116" i="32"/>
  <c r="D114" i="32"/>
  <c r="D113" i="32"/>
  <c r="D112" i="32"/>
  <c r="G111" i="32"/>
  <c r="D111" i="32"/>
  <c r="G105" i="32"/>
  <c r="G102" i="32"/>
  <c r="G100" i="32"/>
  <c r="G99" i="32"/>
  <c r="G97" i="32"/>
  <c r="G96" i="32"/>
  <c r="G94" i="32"/>
  <c r="G93" i="32"/>
  <c r="G91" i="32"/>
  <c r="D90" i="32"/>
  <c r="D89" i="32"/>
  <c r="D88" i="32"/>
  <c r="D87" i="32"/>
  <c r="G86" i="32"/>
  <c r="D86" i="32"/>
  <c r="G85" i="32"/>
  <c r="D85" i="32"/>
  <c r="G84" i="32"/>
  <c r="G83" i="32"/>
  <c r="D83" i="32"/>
  <c r="G82" i="32"/>
  <c r="D82" i="32"/>
  <c r="G81" i="32"/>
  <c r="D81" i="32"/>
  <c r="G80" i="32"/>
  <c r="D80" i="32"/>
  <c r="G78" i="32"/>
  <c r="G77" i="32"/>
  <c r="G76" i="32"/>
  <c r="D76" i="32"/>
  <c r="G75" i="32"/>
  <c r="D75" i="32"/>
  <c r="D74" i="32"/>
  <c r="D73" i="32"/>
  <c r="D72" i="32"/>
  <c r="D71" i="32"/>
  <c r="G70" i="32"/>
  <c r="D70" i="32"/>
  <c r="G69" i="32"/>
  <c r="D69" i="32"/>
  <c r="D68" i="32"/>
  <c r="G67" i="32"/>
  <c r="D67" i="32"/>
  <c r="G66" i="32"/>
  <c r="D66" i="32"/>
  <c r="G65" i="32"/>
  <c r="D65" i="32"/>
  <c r="D64" i="32"/>
  <c r="G63" i="32"/>
  <c r="G61" i="32"/>
  <c r="G60" i="32"/>
  <c r="D60" i="32"/>
  <c r="G59" i="32"/>
  <c r="G58" i="32"/>
  <c r="G56" i="32"/>
  <c r="G54" i="32"/>
  <c r="G53" i="32"/>
  <c r="G52" i="32"/>
  <c r="G51" i="32"/>
  <c r="D51" i="32"/>
  <c r="G50" i="32"/>
  <c r="D50" i="32"/>
  <c r="D52" i="32" s="1"/>
  <c r="G49" i="32"/>
  <c r="G47" i="32"/>
  <c r="G46" i="32"/>
  <c r="D46" i="32"/>
  <c r="D45" i="32"/>
  <c r="D42" i="32"/>
  <c r="G40" i="32"/>
  <c r="G39" i="32"/>
  <c r="D36" i="32"/>
  <c r="D47" i="32" s="1"/>
  <c r="D34" i="32"/>
  <c r="G33" i="32"/>
  <c r="D33" i="32"/>
  <c r="D32" i="32"/>
  <c r="G31" i="32"/>
  <c r="D31" i="32"/>
  <c r="G30" i="32"/>
  <c r="D30" i="32"/>
  <c r="G29" i="32"/>
  <c r="D29" i="32"/>
  <c r="G28" i="32"/>
  <c r="D28" i="32"/>
  <c r="D27" i="32"/>
  <c r="G26" i="32"/>
  <c r="D26" i="32"/>
  <c r="G25" i="32"/>
  <c r="D25" i="32"/>
  <c r="D24" i="32"/>
  <c r="G23" i="32"/>
  <c r="D23" i="32"/>
  <c r="D22" i="32"/>
  <c r="G21" i="32"/>
  <c r="D19" i="32"/>
  <c r="G18" i="32"/>
  <c r="G16" i="32"/>
  <c r="G15" i="32"/>
  <c r="G14" i="32"/>
  <c r="D13" i="32"/>
  <c r="G12" i="32"/>
  <c r="D12" i="32"/>
  <c r="D11" i="32"/>
  <c r="G10" i="32"/>
  <c r="G19" i="32" s="1"/>
  <c r="D10" i="32"/>
  <c r="D9" i="32"/>
  <c r="G8" i="32"/>
  <c r="D8" i="32"/>
  <c r="G7" i="32"/>
  <c r="D7" i="32"/>
  <c r="D20" i="32" s="1"/>
  <c r="D6" i="32"/>
  <c r="G6" i="32" s="1"/>
  <c r="E2" i="32"/>
  <c r="E1" i="32"/>
  <c r="D21" i="32" l="1"/>
  <c r="D35" i="32" s="1"/>
  <c r="D91" i="32"/>
  <c r="G95" i="32"/>
  <c r="G123" i="32"/>
  <c r="G168" i="32"/>
  <c r="G57" i="32"/>
  <c r="D138" i="32"/>
  <c r="G154" i="32"/>
  <c r="G169" i="32" s="1"/>
  <c r="G27" i="32"/>
  <c r="G32" i="32"/>
  <c r="G48" i="32"/>
  <c r="G79" i="32"/>
  <c r="G101" i="32"/>
  <c r="D122" i="32"/>
  <c r="D153" i="32" s="1"/>
  <c r="D142" i="32"/>
  <c r="D77" i="32"/>
  <c r="D92" i="32" s="1"/>
  <c r="D53" i="32"/>
  <c r="D61" i="32" s="1"/>
  <c r="G106" i="32"/>
  <c r="G140" i="32"/>
  <c r="G109" i="32" l="1"/>
  <c r="D155" i="32" s="1"/>
  <c r="G172" i="32" s="1"/>
  <c r="G181" i="32" s="1"/>
  <c r="G178" i="31" l="1"/>
  <c r="G168" i="31"/>
  <c r="G166" i="31"/>
  <c r="G154" i="31"/>
  <c r="D152" i="31"/>
  <c r="D148" i="31"/>
  <c r="G143" i="31"/>
  <c r="G174" i="31" s="1"/>
  <c r="D143" i="31"/>
  <c r="D142" i="31"/>
  <c r="G139" i="31"/>
  <c r="D138" i="31"/>
  <c r="D126" i="31"/>
  <c r="G123" i="31"/>
  <c r="D122" i="31"/>
  <c r="D153" i="31" s="1"/>
  <c r="G111" i="31"/>
  <c r="D111" i="31"/>
  <c r="G105" i="31"/>
  <c r="G102" i="31"/>
  <c r="G101" i="31"/>
  <c r="G95" i="31"/>
  <c r="D90" i="31"/>
  <c r="D89" i="31"/>
  <c r="D88" i="31"/>
  <c r="D87" i="31"/>
  <c r="D86" i="31"/>
  <c r="D85" i="31"/>
  <c r="D83" i="31"/>
  <c r="D82" i="31"/>
  <c r="D81" i="31"/>
  <c r="D80" i="31"/>
  <c r="G79" i="31"/>
  <c r="D76" i="31"/>
  <c r="D75" i="31"/>
  <c r="D74" i="31"/>
  <c r="D73" i="31"/>
  <c r="D72" i="31"/>
  <c r="D71" i="31"/>
  <c r="D70" i="31"/>
  <c r="D69" i="31"/>
  <c r="D68" i="31"/>
  <c r="D67" i="31"/>
  <c r="D66" i="31"/>
  <c r="D65" i="31"/>
  <c r="D64" i="31"/>
  <c r="D60" i="31"/>
  <c r="G57" i="31"/>
  <c r="D52" i="31"/>
  <c r="D47" i="31"/>
  <c r="G40" i="31"/>
  <c r="G33" i="31"/>
  <c r="G48" i="31" s="1"/>
  <c r="G32" i="31"/>
  <c r="D29" i="31"/>
  <c r="G27" i="31"/>
  <c r="D21" i="31"/>
  <c r="D35" i="31" s="1"/>
  <c r="G19" i="31"/>
  <c r="D19" i="31"/>
  <c r="D20" i="31" s="1"/>
  <c r="D6" i="31"/>
  <c r="G6" i="31" s="1"/>
  <c r="E2" i="31"/>
  <c r="E1" i="31"/>
  <c r="G169" i="31" l="1"/>
  <c r="G140" i="31"/>
  <c r="D53" i="31"/>
  <c r="D61" i="31" s="1"/>
  <c r="D77" i="31"/>
  <c r="D91" i="31"/>
  <c r="G106" i="31"/>
  <c r="G109" i="31" s="1"/>
  <c r="D155" i="31" s="1"/>
  <c r="G172" i="31" s="1"/>
  <c r="G181" i="31" s="1"/>
  <c r="D92" i="31" l="1"/>
  <c r="G178" i="30"/>
  <c r="G168" i="30"/>
  <c r="G154" i="30"/>
  <c r="D152" i="30"/>
  <c r="D148" i="30"/>
  <c r="G143" i="30"/>
  <c r="G174" i="30" s="1"/>
  <c r="D143" i="30"/>
  <c r="D142" i="30"/>
  <c r="G139" i="30"/>
  <c r="D138" i="30"/>
  <c r="D126" i="30"/>
  <c r="G123" i="30"/>
  <c r="D122" i="30"/>
  <c r="G111" i="30"/>
  <c r="D111" i="30"/>
  <c r="G105" i="30"/>
  <c r="G102" i="30"/>
  <c r="G101" i="30"/>
  <c r="G95" i="30"/>
  <c r="D90" i="30"/>
  <c r="D89" i="30"/>
  <c r="D88" i="30"/>
  <c r="D87" i="30"/>
  <c r="D86" i="30"/>
  <c r="D85" i="30"/>
  <c r="D83" i="30"/>
  <c r="D82" i="30"/>
  <c r="D81" i="30"/>
  <c r="D80" i="30"/>
  <c r="G79" i="30"/>
  <c r="D76" i="30"/>
  <c r="D75" i="30"/>
  <c r="D74" i="30"/>
  <c r="D73" i="30"/>
  <c r="D72" i="30"/>
  <c r="D71" i="30"/>
  <c r="D70" i="30"/>
  <c r="D69" i="30"/>
  <c r="D68" i="30"/>
  <c r="D67" i="30"/>
  <c r="D66" i="30"/>
  <c r="D65" i="30"/>
  <c r="D64" i="30"/>
  <c r="D60" i="30"/>
  <c r="G57" i="30"/>
  <c r="D52" i="30"/>
  <c r="D47" i="30"/>
  <c r="G40" i="30"/>
  <c r="G33" i="30"/>
  <c r="G48" i="30" s="1"/>
  <c r="G32" i="30"/>
  <c r="D29" i="30"/>
  <c r="G27" i="30"/>
  <c r="D21" i="30"/>
  <c r="D20" i="30"/>
  <c r="G19" i="30"/>
  <c r="D6" i="30"/>
  <c r="G6" i="30" s="1"/>
  <c r="E2" i="30"/>
  <c r="E1" i="30"/>
  <c r="G178" i="29"/>
  <c r="G167" i="29"/>
  <c r="G165" i="29"/>
  <c r="G153" i="29"/>
  <c r="G154" i="29" s="1"/>
  <c r="D151" i="29"/>
  <c r="D150" i="29"/>
  <c r="D148" i="29"/>
  <c r="G143" i="29"/>
  <c r="G174" i="29" s="1"/>
  <c r="D143" i="29"/>
  <c r="D142" i="29"/>
  <c r="G139" i="29"/>
  <c r="D136" i="29"/>
  <c r="D138" i="29" s="1"/>
  <c r="D126" i="29"/>
  <c r="G122" i="29"/>
  <c r="G123" i="29" s="1"/>
  <c r="D122" i="29"/>
  <c r="G111" i="29"/>
  <c r="D111" i="29"/>
  <c r="G105" i="29"/>
  <c r="G102" i="29"/>
  <c r="G101" i="29"/>
  <c r="G95" i="29"/>
  <c r="D90" i="29"/>
  <c r="D89" i="29"/>
  <c r="D88" i="29"/>
  <c r="D87" i="29"/>
  <c r="D86" i="29"/>
  <c r="D85" i="29"/>
  <c r="D83" i="29"/>
  <c r="D82" i="29"/>
  <c r="D81" i="29"/>
  <c r="D80" i="29"/>
  <c r="G79" i="29"/>
  <c r="D76" i="29"/>
  <c r="D75" i="29"/>
  <c r="D74" i="29"/>
  <c r="D73" i="29"/>
  <c r="D72" i="29"/>
  <c r="D71" i="29"/>
  <c r="D70" i="29"/>
  <c r="D69" i="29"/>
  <c r="D68" i="29"/>
  <c r="D67" i="29"/>
  <c r="D66" i="29"/>
  <c r="D65" i="29"/>
  <c r="D64" i="29"/>
  <c r="D60" i="29"/>
  <c r="G57" i="29"/>
  <c r="D52" i="29"/>
  <c r="D47" i="29"/>
  <c r="G40" i="29"/>
  <c r="G33" i="29"/>
  <c r="G48" i="29" s="1"/>
  <c r="G32" i="29"/>
  <c r="D29" i="29"/>
  <c r="G27" i="29"/>
  <c r="D26" i="29"/>
  <c r="D24" i="29"/>
  <c r="D20" i="29"/>
  <c r="G19" i="29"/>
  <c r="D6" i="29"/>
  <c r="G6" i="29" s="1"/>
  <c r="E2" i="29"/>
  <c r="E1" i="29"/>
  <c r="G140" i="29" l="1"/>
  <c r="D35" i="30"/>
  <c r="D153" i="30"/>
  <c r="G169" i="30"/>
  <c r="D91" i="29"/>
  <c r="G140" i="30"/>
  <c r="D152" i="29"/>
  <c r="G106" i="30"/>
  <c r="G106" i="29"/>
  <c r="D21" i="29"/>
  <c r="D35" i="29" s="1"/>
  <c r="D53" i="29" s="1"/>
  <c r="D61" i="29" s="1"/>
  <c r="G109" i="29" s="1"/>
  <c r="D153" i="29"/>
  <c r="G168" i="29"/>
  <c r="G169" i="29" s="1"/>
  <c r="D53" i="30"/>
  <c r="D61" i="30" s="1"/>
  <c r="G109" i="30" s="1"/>
  <c r="D77" i="29"/>
  <c r="D77" i="30"/>
  <c r="D91" i="30"/>
  <c r="D92" i="29"/>
  <c r="D155" i="30" l="1"/>
  <c r="G172" i="30" s="1"/>
  <c r="G181" i="30" s="1"/>
  <c r="D155" i="29"/>
  <c r="G172" i="29" s="1"/>
  <c r="G181" i="29" s="1"/>
  <c r="D92" i="30"/>
  <c r="G178" i="27"/>
  <c r="G168" i="27"/>
  <c r="G154" i="27"/>
  <c r="G169" i="27" s="1"/>
  <c r="D152" i="27"/>
  <c r="D148" i="27"/>
  <c r="G143" i="27"/>
  <c r="G174" i="27" s="1"/>
  <c r="D143" i="27"/>
  <c r="D142" i="27"/>
  <c r="G139" i="27"/>
  <c r="D138" i="27"/>
  <c r="D126" i="27"/>
  <c r="G123" i="27"/>
  <c r="D122" i="27"/>
  <c r="G111" i="27"/>
  <c r="D111" i="27"/>
  <c r="G105" i="27"/>
  <c r="G102" i="27"/>
  <c r="G101" i="27"/>
  <c r="G95" i="27"/>
  <c r="D90" i="27"/>
  <c r="D89" i="27"/>
  <c r="D88" i="27"/>
  <c r="D87" i="27"/>
  <c r="D86" i="27"/>
  <c r="D85" i="27"/>
  <c r="D83" i="27"/>
  <c r="D82" i="27"/>
  <c r="D81" i="27"/>
  <c r="D80" i="27"/>
  <c r="G79" i="27"/>
  <c r="D76" i="27"/>
  <c r="D75" i="27"/>
  <c r="D74" i="27"/>
  <c r="D73" i="27"/>
  <c r="D72" i="27"/>
  <c r="D71" i="27"/>
  <c r="D70" i="27"/>
  <c r="D69" i="27"/>
  <c r="D68" i="27"/>
  <c r="D67" i="27"/>
  <c r="D66" i="27"/>
  <c r="D65" i="27"/>
  <c r="D64" i="27"/>
  <c r="D60" i="27"/>
  <c r="G57" i="27"/>
  <c r="D52" i="27"/>
  <c r="D47" i="27"/>
  <c r="G40" i="27"/>
  <c r="G33" i="27"/>
  <c r="G48" i="27" s="1"/>
  <c r="G32" i="27"/>
  <c r="D29" i="27"/>
  <c r="G27" i="27"/>
  <c r="D21" i="27"/>
  <c r="D20" i="27"/>
  <c r="G19" i="27"/>
  <c r="D6" i="27"/>
  <c r="G6" i="27" s="1"/>
  <c r="E2" i="27"/>
  <c r="E1" i="27"/>
  <c r="D35" i="27" l="1"/>
  <c r="D153" i="27"/>
  <c r="G140" i="27"/>
  <c r="G106" i="27"/>
  <c r="D53" i="27"/>
  <c r="D61" i="27" s="1"/>
  <c r="D77" i="27"/>
  <c r="D91" i="27"/>
  <c r="D92" i="27" l="1"/>
  <c r="G109" i="27"/>
  <c r="D155" i="27" s="1"/>
  <c r="G172" i="27" s="1"/>
  <c r="G181" i="27" s="1"/>
  <c r="G175" i="26"/>
  <c r="G178" i="26" s="1"/>
  <c r="G168" i="26"/>
  <c r="G154" i="26"/>
  <c r="D151" i="26"/>
  <c r="D145" i="26"/>
  <c r="D144" i="26"/>
  <c r="G143" i="26"/>
  <c r="G174" i="26" s="1"/>
  <c r="D143" i="26"/>
  <c r="D142" i="26"/>
  <c r="G138" i="26"/>
  <c r="G137" i="26"/>
  <c r="D137" i="26"/>
  <c r="D138" i="26" s="1"/>
  <c r="D126" i="26"/>
  <c r="G123" i="26"/>
  <c r="D122" i="26"/>
  <c r="G111" i="26"/>
  <c r="D111" i="26"/>
  <c r="G105" i="26"/>
  <c r="G102" i="26"/>
  <c r="G101" i="26"/>
  <c r="G98" i="26"/>
  <c r="G95" i="26"/>
  <c r="D90" i="26"/>
  <c r="D89" i="26"/>
  <c r="D88" i="26"/>
  <c r="D87" i="26"/>
  <c r="D86" i="26"/>
  <c r="D85" i="26"/>
  <c r="D83" i="26"/>
  <c r="D82" i="26"/>
  <c r="D81" i="26"/>
  <c r="D80" i="26"/>
  <c r="G77" i="26"/>
  <c r="G79" i="26" s="1"/>
  <c r="D76" i="26"/>
  <c r="D75" i="26"/>
  <c r="D74" i="26"/>
  <c r="D73" i="26"/>
  <c r="D72" i="26"/>
  <c r="D71" i="26"/>
  <c r="D70" i="26"/>
  <c r="D69" i="26"/>
  <c r="D68" i="26"/>
  <c r="D67" i="26"/>
  <c r="D66" i="26"/>
  <c r="D65" i="26"/>
  <c r="D64" i="26"/>
  <c r="D77" i="26" s="1"/>
  <c r="D60" i="26"/>
  <c r="D52" i="26"/>
  <c r="G50" i="26"/>
  <c r="G57" i="26" s="1"/>
  <c r="D42" i="26"/>
  <c r="D47" i="26" s="1"/>
  <c r="G40" i="26"/>
  <c r="G33" i="26"/>
  <c r="G48" i="26" s="1"/>
  <c r="G32" i="26"/>
  <c r="D29" i="26"/>
  <c r="G23" i="26"/>
  <c r="G27" i="26" s="1"/>
  <c r="D21" i="26"/>
  <c r="G19" i="26"/>
  <c r="D18" i="26"/>
  <c r="D20" i="26" s="1"/>
  <c r="D6" i="26"/>
  <c r="G6" i="26" s="1"/>
  <c r="E2" i="26"/>
  <c r="E1" i="26"/>
  <c r="G169" i="26" l="1"/>
  <c r="D148" i="26"/>
  <c r="D35" i="26"/>
  <c r="G106" i="26"/>
  <c r="G139" i="26"/>
  <c r="G140" i="26" s="1"/>
  <c r="D152" i="26"/>
  <c r="D91" i="26"/>
  <c r="D92" i="26" s="1"/>
  <c r="D153" i="26"/>
  <c r="D53" i="26"/>
  <c r="D61" i="26" s="1"/>
  <c r="G109" i="26" s="1"/>
  <c r="D155" i="26" s="1"/>
  <c r="G172" i="26" s="1"/>
  <c r="G181" i="26" s="1"/>
  <c r="G178" i="25" l="1"/>
  <c r="G161" i="25"/>
  <c r="G159" i="25"/>
  <c r="D152" i="25"/>
  <c r="G151" i="25"/>
  <c r="G154" i="25" s="1"/>
  <c r="D145" i="25"/>
  <c r="G143" i="25"/>
  <c r="G174" i="25" s="1"/>
  <c r="D143" i="25"/>
  <c r="D142" i="25"/>
  <c r="G137" i="25"/>
  <c r="G136" i="25"/>
  <c r="D135" i="25"/>
  <c r="D138" i="25" s="1"/>
  <c r="G132" i="25"/>
  <c r="D124" i="25"/>
  <c r="D126" i="25" s="1"/>
  <c r="D122" i="25"/>
  <c r="G121" i="25"/>
  <c r="G123" i="25" s="1"/>
  <c r="G111" i="25"/>
  <c r="D111" i="25"/>
  <c r="G105" i="25"/>
  <c r="G102" i="25"/>
  <c r="G96" i="25"/>
  <c r="G101" i="25" s="1"/>
  <c r="G95" i="25"/>
  <c r="D90" i="25"/>
  <c r="D89" i="25"/>
  <c r="D88" i="25"/>
  <c r="D87" i="25"/>
  <c r="D86" i="25"/>
  <c r="D85" i="25"/>
  <c r="D83" i="25"/>
  <c r="D82" i="25"/>
  <c r="D81" i="25"/>
  <c r="D80" i="25"/>
  <c r="G77" i="25"/>
  <c r="D76" i="25"/>
  <c r="D75" i="25"/>
  <c r="D74" i="25"/>
  <c r="D73" i="25"/>
  <c r="D72" i="25"/>
  <c r="D71" i="25"/>
  <c r="D70" i="25"/>
  <c r="D69" i="25"/>
  <c r="D68" i="25"/>
  <c r="D67" i="25"/>
  <c r="D66" i="25"/>
  <c r="D65" i="25"/>
  <c r="D64" i="25"/>
  <c r="D60" i="25"/>
  <c r="G58" i="25"/>
  <c r="G57" i="25"/>
  <c r="D50" i="25"/>
  <c r="D52" i="25" s="1"/>
  <c r="G46" i="25"/>
  <c r="D45" i="25"/>
  <c r="G43" i="25"/>
  <c r="D42" i="25"/>
  <c r="D47" i="25" s="1"/>
  <c r="G41" i="25"/>
  <c r="G40" i="25" s="1"/>
  <c r="G39" i="25"/>
  <c r="G38" i="25"/>
  <c r="G37" i="25"/>
  <c r="G36" i="25"/>
  <c r="G35" i="25"/>
  <c r="G34" i="25"/>
  <c r="D33" i="25"/>
  <c r="D29" i="25" s="1"/>
  <c r="G30" i="25"/>
  <c r="G28" i="25"/>
  <c r="G27" i="25"/>
  <c r="D21" i="25"/>
  <c r="D35" i="25" s="1"/>
  <c r="G19" i="25"/>
  <c r="D19" i="25"/>
  <c r="D18" i="25"/>
  <c r="D6" i="25"/>
  <c r="G6" i="25" s="1"/>
  <c r="E2" i="25"/>
  <c r="E1" i="25"/>
  <c r="D20" i="25" l="1"/>
  <c r="D53" i="25" s="1"/>
  <c r="D61" i="25" s="1"/>
  <c r="G79" i="25"/>
  <c r="D148" i="25"/>
  <c r="D148" i="36"/>
  <c r="D148" i="35"/>
  <c r="G32" i="25"/>
  <c r="G33" i="25"/>
  <c r="G48" i="25" s="1"/>
  <c r="D91" i="25"/>
  <c r="G139" i="25"/>
  <c r="G140" i="25" s="1"/>
  <c r="G168" i="25"/>
  <c r="G169" i="25" s="1"/>
  <c r="D77" i="25"/>
  <c r="G106" i="25"/>
  <c r="G109" i="25" s="1"/>
  <c r="D92" i="25"/>
  <c r="D153" i="25"/>
  <c r="D155" i="25" l="1"/>
  <c r="G172" i="25"/>
  <c r="G181" i="25" s="1"/>
  <c r="G178" i="24"/>
  <c r="G168" i="24"/>
  <c r="G154" i="24"/>
  <c r="D152" i="24"/>
  <c r="D148" i="24"/>
  <c r="G143" i="24"/>
  <c r="G174" i="24" s="1"/>
  <c r="D143" i="24"/>
  <c r="D142" i="24"/>
  <c r="G139" i="24"/>
  <c r="D138" i="24"/>
  <c r="D126" i="24"/>
  <c r="G123" i="24"/>
  <c r="G140" i="24" s="1"/>
  <c r="D122" i="24"/>
  <c r="G111" i="24"/>
  <c r="D111" i="24"/>
  <c r="G105" i="24"/>
  <c r="G102" i="24"/>
  <c r="G101" i="24"/>
  <c r="G95" i="24"/>
  <c r="D90" i="24"/>
  <c r="D89" i="24"/>
  <c r="D88" i="24"/>
  <c r="D87" i="24"/>
  <c r="D86" i="24"/>
  <c r="D85" i="24"/>
  <c r="D83" i="24"/>
  <c r="D82" i="24"/>
  <c r="D81" i="24"/>
  <c r="D80" i="24"/>
  <c r="G79" i="24"/>
  <c r="D76" i="24"/>
  <c r="D75" i="24"/>
  <c r="D74" i="24"/>
  <c r="D73" i="24"/>
  <c r="D72" i="24"/>
  <c r="D71" i="24"/>
  <c r="D70" i="24"/>
  <c r="D69" i="24"/>
  <c r="D68" i="24"/>
  <c r="D67" i="24"/>
  <c r="D66" i="24"/>
  <c r="D65" i="24"/>
  <c r="D64" i="24"/>
  <c r="D60" i="24"/>
  <c r="G57" i="24"/>
  <c r="D52" i="24"/>
  <c r="D47" i="24"/>
  <c r="G40" i="24"/>
  <c r="G33" i="24"/>
  <c r="G32" i="24"/>
  <c r="D29" i="24"/>
  <c r="G27" i="24"/>
  <c r="D21" i="24"/>
  <c r="D35" i="24" s="1"/>
  <c r="D20" i="24"/>
  <c r="G19" i="24"/>
  <c r="D6" i="24"/>
  <c r="G6" i="24" s="1"/>
  <c r="E2" i="24"/>
  <c r="E1" i="24"/>
  <c r="G48" i="24" l="1"/>
  <c r="D91" i="24"/>
  <c r="D153" i="24"/>
  <c r="G169" i="24"/>
  <c r="G106" i="24"/>
  <c r="D53" i="24"/>
  <c r="D61" i="24" s="1"/>
  <c r="G109" i="24" s="1"/>
  <c r="D155" i="24" s="1"/>
  <c r="G172" i="24" s="1"/>
  <c r="G181" i="24" s="1"/>
  <c r="D77" i="24"/>
  <c r="D92" i="24"/>
  <c r="G178" i="23" l="1"/>
  <c r="G168" i="23"/>
  <c r="G154" i="23"/>
  <c r="D152" i="23"/>
  <c r="D148" i="23"/>
  <c r="G143" i="23"/>
  <c r="G174" i="23" s="1"/>
  <c r="D143" i="23"/>
  <c r="D142" i="23"/>
  <c r="G139" i="23"/>
  <c r="D138" i="23"/>
  <c r="D126" i="23"/>
  <c r="D122" i="23"/>
  <c r="D153" i="23" s="1"/>
  <c r="G121" i="23"/>
  <c r="G123" i="23" s="1"/>
  <c r="G111" i="23"/>
  <c r="D111" i="23"/>
  <c r="G105" i="23"/>
  <c r="G102" i="23"/>
  <c r="G101" i="23"/>
  <c r="G95" i="23"/>
  <c r="D90" i="23"/>
  <c r="D89" i="23"/>
  <c r="D88" i="23"/>
  <c r="D87" i="23"/>
  <c r="D86" i="23"/>
  <c r="D85" i="23"/>
  <c r="D83" i="23"/>
  <c r="D82" i="23"/>
  <c r="D81" i="23"/>
  <c r="D80" i="23"/>
  <c r="G79" i="23"/>
  <c r="D76" i="23"/>
  <c r="D75" i="23"/>
  <c r="D74" i="23"/>
  <c r="D73" i="23"/>
  <c r="D72" i="23"/>
  <c r="D71" i="23"/>
  <c r="D70" i="23"/>
  <c r="D69" i="23"/>
  <c r="D68" i="23"/>
  <c r="D67" i="23"/>
  <c r="D66" i="23"/>
  <c r="D65" i="23"/>
  <c r="D64" i="23"/>
  <c r="D60" i="23"/>
  <c r="G57" i="23"/>
  <c r="D50" i="23"/>
  <c r="D52" i="23" s="1"/>
  <c r="D47" i="23"/>
  <c r="G40" i="23"/>
  <c r="G33" i="23"/>
  <c r="G32" i="23"/>
  <c r="D29" i="23"/>
  <c r="G27" i="23"/>
  <c r="D21" i="23"/>
  <c r="D20" i="23"/>
  <c r="G19" i="23"/>
  <c r="D6" i="23"/>
  <c r="G6" i="23" s="1"/>
  <c r="E2" i="23"/>
  <c r="E1" i="23"/>
  <c r="G48" i="23" l="1"/>
  <c r="G169" i="23"/>
  <c r="D35" i="23"/>
  <c r="D53" i="23" s="1"/>
  <c r="D61" i="23" s="1"/>
  <c r="D77" i="23"/>
  <c r="D92" i="23" s="1"/>
  <c r="D91" i="23"/>
  <c r="G140" i="23"/>
  <c r="G106" i="23"/>
  <c r="G109" i="23" l="1"/>
  <c r="D155" i="23" s="1"/>
  <c r="G172" i="23" s="1"/>
  <c r="G181" i="23" s="1"/>
  <c r="G175" i="22"/>
  <c r="G178" i="22" s="1"/>
  <c r="G166" i="22"/>
  <c r="G168" i="22" s="1"/>
  <c r="G154" i="22"/>
  <c r="D152" i="22"/>
  <c r="D148" i="22"/>
  <c r="G143" i="22"/>
  <c r="G174" i="22" s="1"/>
  <c r="D143" i="22"/>
  <c r="D142" i="22"/>
  <c r="G138" i="22"/>
  <c r="D137" i="22"/>
  <c r="D136" i="22"/>
  <c r="G135" i="22"/>
  <c r="D126" i="22"/>
  <c r="G122" i="22"/>
  <c r="G121" i="22"/>
  <c r="D113" i="22"/>
  <c r="G111" i="22"/>
  <c r="D111" i="22"/>
  <c r="G105" i="22"/>
  <c r="G102" i="22"/>
  <c r="G99" i="22"/>
  <c r="G96" i="22"/>
  <c r="G101" i="22" s="1"/>
  <c r="G94" i="22"/>
  <c r="G90" i="22"/>
  <c r="D90" i="22"/>
  <c r="G89" i="22"/>
  <c r="D89" i="22"/>
  <c r="D88" i="22"/>
  <c r="G87" i="22"/>
  <c r="D87" i="22"/>
  <c r="D86" i="22"/>
  <c r="D85" i="22"/>
  <c r="D83" i="22"/>
  <c r="G82" i="22"/>
  <c r="D82" i="22"/>
  <c r="D81" i="22"/>
  <c r="D80" i="22"/>
  <c r="G76" i="22"/>
  <c r="D76" i="22"/>
  <c r="D75" i="22"/>
  <c r="D74" i="22"/>
  <c r="D73" i="22"/>
  <c r="D72" i="22"/>
  <c r="D71" i="22"/>
  <c r="D70" i="22"/>
  <c r="D69" i="22"/>
  <c r="D68" i="22"/>
  <c r="D67" i="22"/>
  <c r="D66" i="22"/>
  <c r="D65" i="22"/>
  <c r="D64" i="22"/>
  <c r="G63" i="22"/>
  <c r="G79" i="22" s="1"/>
  <c r="D60" i="22"/>
  <c r="G56" i="22"/>
  <c r="G55" i="22"/>
  <c r="G54" i="22"/>
  <c r="G53" i="22"/>
  <c r="D52" i="22"/>
  <c r="G50" i="22"/>
  <c r="G47" i="22"/>
  <c r="D45" i="22"/>
  <c r="D42" i="22"/>
  <c r="D41" i="22"/>
  <c r="G40" i="22"/>
  <c r="G39" i="22"/>
  <c r="G33" i="22"/>
  <c r="G32" i="22"/>
  <c r="D29" i="22"/>
  <c r="G21" i="22"/>
  <c r="G27" i="22" s="1"/>
  <c r="D21" i="22"/>
  <c r="D19" i="22"/>
  <c r="D18" i="22"/>
  <c r="G16" i="22"/>
  <c r="G15" i="22"/>
  <c r="G14" i="22"/>
  <c r="D14" i="22"/>
  <c r="G10" i="22"/>
  <c r="G19" i="22" s="1"/>
  <c r="D6" i="22"/>
  <c r="G6" i="22" s="1"/>
  <c r="E2" i="22"/>
  <c r="E1" i="22"/>
  <c r="G123" i="22" l="1"/>
  <c r="D35" i="22"/>
  <c r="G57" i="22"/>
  <c r="G139" i="22"/>
  <c r="G140" i="22" s="1"/>
  <c r="D20" i="22"/>
  <c r="G48" i="22"/>
  <c r="D47" i="22"/>
  <c r="D77" i="22"/>
  <c r="G95" i="22"/>
  <c r="D122" i="22"/>
  <c r="D138" i="22"/>
  <c r="G169" i="22"/>
  <c r="D91" i="22"/>
  <c r="D92" i="22" s="1"/>
  <c r="D153" i="22"/>
  <c r="G106" i="22" l="1"/>
  <c r="D53" i="22"/>
  <c r="D61" i="22" s="1"/>
  <c r="G109" i="22" s="1"/>
  <c r="D155" i="22" s="1"/>
  <c r="G172" i="22" s="1"/>
  <c r="G181" i="22" s="1"/>
  <c r="G178" i="21"/>
  <c r="G168" i="21"/>
  <c r="G154" i="21"/>
  <c r="D152" i="21"/>
  <c r="D148" i="21"/>
  <c r="G143" i="21"/>
  <c r="G174" i="21" s="1"/>
  <c r="D143" i="21"/>
  <c r="D142" i="21"/>
  <c r="G139" i="21"/>
  <c r="D138" i="21"/>
  <c r="D126" i="21"/>
  <c r="G123" i="21"/>
  <c r="G140" i="21" s="1"/>
  <c r="D122" i="21"/>
  <c r="G111" i="21"/>
  <c r="D111" i="21"/>
  <c r="G105" i="21"/>
  <c r="G102" i="21"/>
  <c r="G101" i="21"/>
  <c r="G95" i="21"/>
  <c r="D90" i="21"/>
  <c r="D89" i="21"/>
  <c r="D88" i="21"/>
  <c r="D87" i="21"/>
  <c r="D86" i="21"/>
  <c r="D85" i="21"/>
  <c r="D83" i="21"/>
  <c r="D82" i="21"/>
  <c r="D81" i="21"/>
  <c r="D80" i="21"/>
  <c r="G79" i="21"/>
  <c r="D76" i="21"/>
  <c r="D75" i="21"/>
  <c r="D74" i="21"/>
  <c r="D73" i="21"/>
  <c r="D72" i="21"/>
  <c r="D71" i="21"/>
  <c r="D70" i="21"/>
  <c r="D69" i="21"/>
  <c r="D68" i="21"/>
  <c r="D67" i="21"/>
  <c r="D66" i="21"/>
  <c r="D65" i="21"/>
  <c r="D64" i="21"/>
  <c r="D60" i="21"/>
  <c r="G57" i="21"/>
  <c r="D52" i="21"/>
  <c r="D47" i="21"/>
  <c r="G40" i="21"/>
  <c r="G33" i="21"/>
  <c r="G32" i="21"/>
  <c r="D29" i="21"/>
  <c r="G27" i="21"/>
  <c r="D21" i="21"/>
  <c r="D20" i="21"/>
  <c r="G19" i="21"/>
  <c r="D6" i="21"/>
  <c r="G6" i="21" s="1"/>
  <c r="E2" i="21"/>
  <c r="E1" i="21"/>
  <c r="G48" i="21" l="1"/>
  <c r="G106" i="21" s="1"/>
  <c r="G169" i="21"/>
  <c r="D35" i="21"/>
  <c r="D53" i="21" s="1"/>
  <c r="D61" i="21" s="1"/>
  <c r="D91" i="21"/>
  <c r="D153" i="21"/>
  <c r="D77" i="21"/>
  <c r="D92" i="21" s="1"/>
  <c r="G109" i="21" l="1"/>
  <c r="D155" i="21" s="1"/>
  <c r="G172" i="21" s="1"/>
  <c r="G181" i="21" s="1"/>
  <c r="G178" i="20"/>
  <c r="G161" i="20"/>
  <c r="G156" i="20"/>
  <c r="G154" i="20"/>
  <c r="D149" i="20"/>
  <c r="D152" i="35" s="1"/>
  <c r="D148" i="20"/>
  <c r="G143" i="20"/>
  <c r="G174" i="20" s="1"/>
  <c r="D143" i="20"/>
  <c r="D142" i="20"/>
  <c r="G138" i="20"/>
  <c r="G137" i="20"/>
  <c r="D136" i="20"/>
  <c r="D134" i="20"/>
  <c r="D126" i="20"/>
  <c r="G123" i="20"/>
  <c r="D122" i="20"/>
  <c r="G111" i="20"/>
  <c r="D111" i="20"/>
  <c r="G105" i="20"/>
  <c r="G102" i="20"/>
  <c r="G99" i="20"/>
  <c r="G101" i="20" s="1"/>
  <c r="G95" i="20"/>
  <c r="D90" i="20"/>
  <c r="D89" i="20"/>
  <c r="D88" i="20"/>
  <c r="D87" i="20"/>
  <c r="D86" i="20"/>
  <c r="D85" i="20"/>
  <c r="D83" i="20"/>
  <c r="D82" i="20"/>
  <c r="D81" i="20"/>
  <c r="D80" i="20"/>
  <c r="G79" i="20"/>
  <c r="D76" i="20"/>
  <c r="D75" i="20"/>
  <c r="D74" i="20"/>
  <c r="D73" i="20"/>
  <c r="D72" i="20"/>
  <c r="D71" i="20"/>
  <c r="D70" i="20"/>
  <c r="D69" i="20"/>
  <c r="D68" i="20"/>
  <c r="D67" i="20"/>
  <c r="D66" i="20"/>
  <c r="D65" i="20"/>
  <c r="D64" i="20"/>
  <c r="D60" i="20"/>
  <c r="G57" i="20"/>
  <c r="D52" i="20"/>
  <c r="D46" i="20"/>
  <c r="D42" i="20"/>
  <c r="G40" i="20"/>
  <c r="D40" i="20"/>
  <c r="D36" i="20"/>
  <c r="G33" i="20"/>
  <c r="G48" i="20" s="1"/>
  <c r="G32" i="20"/>
  <c r="D29" i="20"/>
  <c r="G27" i="20"/>
  <c r="D21" i="20"/>
  <c r="D35" i="20" s="1"/>
  <c r="G19" i="20"/>
  <c r="D19" i="20"/>
  <c r="D14" i="20"/>
  <c r="D6" i="20"/>
  <c r="G6" i="20" s="1"/>
  <c r="E2" i="20"/>
  <c r="E1" i="20"/>
  <c r="G106" i="20" l="1"/>
  <c r="D47" i="20"/>
  <c r="D152" i="20"/>
  <c r="D20" i="20"/>
  <c r="D53" i="20" s="1"/>
  <c r="D61" i="20" s="1"/>
  <c r="G109" i="20" s="1"/>
  <c r="D91" i="20"/>
  <c r="D138" i="20"/>
  <c r="D153" i="20" s="1"/>
  <c r="G139" i="20"/>
  <c r="G140" i="20" s="1"/>
  <c r="G168" i="20"/>
  <c r="G169" i="20" s="1"/>
  <c r="D77" i="20"/>
  <c r="D92" i="20" s="1"/>
  <c r="D155" i="20" l="1"/>
  <c r="G172" i="20" s="1"/>
  <c r="G181" i="20" s="1"/>
  <c r="G178" i="19"/>
  <c r="G168" i="19"/>
  <c r="G154" i="19"/>
  <c r="G169" i="19" s="1"/>
  <c r="D152" i="19"/>
  <c r="D148" i="19"/>
  <c r="G143" i="19"/>
  <c r="G174" i="19" s="1"/>
  <c r="D143" i="19"/>
  <c r="D142" i="19"/>
  <c r="G138" i="19"/>
  <c r="G137" i="19"/>
  <c r="D136" i="19"/>
  <c r="D135" i="19"/>
  <c r="D126" i="19"/>
  <c r="G123" i="19"/>
  <c r="D122" i="19"/>
  <c r="G111" i="19"/>
  <c r="D111" i="19"/>
  <c r="G105" i="19"/>
  <c r="G102" i="19"/>
  <c r="G97" i="19"/>
  <c r="G96" i="19"/>
  <c r="G101" i="19" s="1"/>
  <c r="G93" i="19"/>
  <c r="G95" i="19" s="1"/>
  <c r="D90" i="19"/>
  <c r="D89" i="19"/>
  <c r="D88" i="19"/>
  <c r="D87" i="19"/>
  <c r="D86" i="19"/>
  <c r="D85" i="19"/>
  <c r="D83" i="19"/>
  <c r="D82" i="19"/>
  <c r="D81" i="19"/>
  <c r="D80" i="19"/>
  <c r="G77" i="19"/>
  <c r="G76" i="19"/>
  <c r="D76" i="19"/>
  <c r="D75" i="19"/>
  <c r="D74" i="19"/>
  <c r="D73" i="19"/>
  <c r="D72" i="19"/>
  <c r="D71" i="19"/>
  <c r="D70" i="19"/>
  <c r="D69" i="19"/>
  <c r="D68" i="19"/>
  <c r="D67" i="19"/>
  <c r="D66" i="19"/>
  <c r="D65" i="19"/>
  <c r="D64" i="19"/>
  <c r="D60" i="19"/>
  <c r="G57" i="19"/>
  <c r="D52" i="19"/>
  <c r="D47" i="19"/>
  <c r="G40" i="19"/>
  <c r="G33" i="19"/>
  <c r="G32" i="19"/>
  <c r="D29" i="19"/>
  <c r="G27" i="19"/>
  <c r="D21" i="19"/>
  <c r="D35" i="19" s="1"/>
  <c r="D20" i="19"/>
  <c r="G16" i="19"/>
  <c r="G19" i="19" s="1"/>
  <c r="D6" i="19"/>
  <c r="G6" i="19" s="1"/>
  <c r="E2" i="19"/>
  <c r="E1" i="19"/>
  <c r="G48" i="19" l="1"/>
  <c r="G140" i="19"/>
  <c r="G139" i="19"/>
  <c r="G79" i="19"/>
  <c r="G106" i="19" s="1"/>
  <c r="G109" i="19" s="1"/>
  <c r="D53" i="19"/>
  <c r="D61" i="19" s="1"/>
  <c r="D77" i="19"/>
  <c r="D138" i="19"/>
  <c r="D153" i="19" s="1"/>
  <c r="D91" i="19"/>
  <c r="D92" i="19" s="1"/>
  <c r="D155" i="19" l="1"/>
  <c r="G172" i="19" s="1"/>
  <c r="G181" i="19" s="1"/>
  <c r="G178" i="18"/>
  <c r="G157" i="18"/>
  <c r="G156" i="18"/>
  <c r="D152" i="18"/>
  <c r="D148" i="18"/>
  <c r="G144" i="18"/>
  <c r="G154" i="18" s="1"/>
  <c r="G143" i="18"/>
  <c r="G174" i="18" s="1"/>
  <c r="D143" i="18"/>
  <c r="D140" i="18"/>
  <c r="D142" i="18" s="1"/>
  <c r="G139" i="18"/>
  <c r="D137" i="18"/>
  <c r="D136" i="18"/>
  <c r="D128" i="18"/>
  <c r="D126" i="18"/>
  <c r="D121" i="18"/>
  <c r="D116" i="18"/>
  <c r="G112" i="18"/>
  <c r="G123" i="18" s="1"/>
  <c r="G140" i="18" s="1"/>
  <c r="G111" i="18"/>
  <c r="D111" i="18"/>
  <c r="G105" i="18"/>
  <c r="G102" i="18"/>
  <c r="G101" i="18"/>
  <c r="G93" i="18"/>
  <c r="G91" i="18"/>
  <c r="D90" i="18"/>
  <c r="D89" i="18"/>
  <c r="D88" i="18"/>
  <c r="G87" i="18"/>
  <c r="D87" i="18"/>
  <c r="D86" i="18"/>
  <c r="D85" i="18"/>
  <c r="D83" i="18"/>
  <c r="D82" i="18"/>
  <c r="D81" i="18"/>
  <c r="D80" i="18"/>
  <c r="G77" i="18"/>
  <c r="D76" i="18"/>
  <c r="D75" i="18"/>
  <c r="D74" i="18"/>
  <c r="D73" i="18"/>
  <c r="D72" i="18"/>
  <c r="D71" i="18"/>
  <c r="G70" i="18"/>
  <c r="D70" i="18"/>
  <c r="D69" i="18"/>
  <c r="D68" i="18"/>
  <c r="D67" i="18"/>
  <c r="D66" i="18"/>
  <c r="D65" i="18"/>
  <c r="D64" i="18"/>
  <c r="D60" i="18"/>
  <c r="G58" i="18"/>
  <c r="G57" i="18"/>
  <c r="D50" i="18"/>
  <c r="D52" i="18" s="1"/>
  <c r="G47" i="18"/>
  <c r="D46" i="18"/>
  <c r="D42" i="18"/>
  <c r="G40" i="18"/>
  <c r="D36" i="18"/>
  <c r="G33" i="18"/>
  <c r="G32" i="18"/>
  <c r="D29" i="18"/>
  <c r="G21" i="18"/>
  <c r="G27" i="18" s="1"/>
  <c r="D21" i="18"/>
  <c r="D35" i="18" s="1"/>
  <c r="D19" i="18"/>
  <c r="D18" i="18"/>
  <c r="D13" i="18"/>
  <c r="G11" i="18"/>
  <c r="G19" i="18" s="1"/>
  <c r="D6" i="18"/>
  <c r="G6" i="18" s="1"/>
  <c r="E2" i="18"/>
  <c r="E1" i="18"/>
  <c r="D47" i="18" l="1"/>
  <c r="D20" i="18"/>
  <c r="D53" i="18" s="1"/>
  <c r="D61" i="18" s="1"/>
  <c r="D91" i="18"/>
  <c r="G95" i="18"/>
  <c r="D122" i="18"/>
  <c r="G169" i="18"/>
  <c r="G168" i="18"/>
  <c r="G48" i="18"/>
  <c r="G79" i="18"/>
  <c r="D138" i="18"/>
  <c r="D77" i="18"/>
  <c r="D92" i="18" s="1"/>
  <c r="D153" i="18"/>
  <c r="G106" i="18" l="1"/>
  <c r="G109" i="18" s="1"/>
  <c r="D155" i="18"/>
  <c r="G172" i="18" s="1"/>
  <c r="G181" i="18" s="1"/>
  <c r="G178" i="17" l="1"/>
  <c r="G168" i="17"/>
  <c r="G154" i="17"/>
  <c r="D152" i="17"/>
  <c r="D148" i="17"/>
  <c r="G143" i="17"/>
  <c r="G174" i="17" s="1"/>
  <c r="D143" i="17"/>
  <c r="D142" i="17"/>
  <c r="D138" i="17"/>
  <c r="G137" i="17"/>
  <c r="G139" i="17" s="1"/>
  <c r="D126" i="17"/>
  <c r="G123" i="17"/>
  <c r="G140" i="17" s="1"/>
  <c r="D122" i="17"/>
  <c r="G111" i="17"/>
  <c r="D111" i="17"/>
  <c r="G105" i="17"/>
  <c r="G102" i="17"/>
  <c r="G99" i="17"/>
  <c r="G97" i="17"/>
  <c r="D90" i="17"/>
  <c r="D89" i="17"/>
  <c r="D88" i="17"/>
  <c r="D87" i="17"/>
  <c r="G86" i="17"/>
  <c r="G95" i="17" s="1"/>
  <c r="D86" i="17"/>
  <c r="D85" i="17"/>
  <c r="D83" i="17"/>
  <c r="D82" i="17"/>
  <c r="D81" i="17"/>
  <c r="D80" i="17"/>
  <c r="G77" i="17"/>
  <c r="G79" i="17" s="1"/>
  <c r="D76" i="17"/>
  <c r="D75" i="17"/>
  <c r="D74" i="17"/>
  <c r="D73" i="17"/>
  <c r="D72" i="17"/>
  <c r="D71" i="17"/>
  <c r="D70" i="17"/>
  <c r="D69" i="17"/>
  <c r="D68" i="17"/>
  <c r="D67" i="17"/>
  <c r="D66" i="17"/>
  <c r="D65" i="17"/>
  <c r="D64" i="17"/>
  <c r="D60" i="17"/>
  <c r="G57" i="17"/>
  <c r="D52" i="17"/>
  <c r="D45" i="17"/>
  <c r="D47" i="17" s="1"/>
  <c r="G40" i="17"/>
  <c r="G33" i="17"/>
  <c r="G32" i="17"/>
  <c r="D29" i="17"/>
  <c r="G27" i="17"/>
  <c r="D21" i="17"/>
  <c r="D35" i="17" s="1"/>
  <c r="G19" i="17"/>
  <c r="G11" i="17"/>
  <c r="D7" i="17"/>
  <c r="D20" i="17" s="1"/>
  <c r="D6" i="17"/>
  <c r="G6" i="17" s="1"/>
  <c r="E2" i="17"/>
  <c r="E1" i="17"/>
  <c r="G48" i="17" l="1"/>
  <c r="G101" i="17"/>
  <c r="G169" i="17"/>
  <c r="D77" i="17"/>
  <c r="D153" i="17"/>
  <c r="D91" i="17"/>
  <c r="D92" i="17" s="1"/>
  <c r="D53" i="17"/>
  <c r="D61" i="17" s="1"/>
  <c r="G106" i="17"/>
  <c r="G109" i="17" l="1"/>
  <c r="D155" i="17" s="1"/>
  <c r="G172" i="17" s="1"/>
  <c r="G181" i="17" s="1"/>
  <c r="G178" i="16" l="1"/>
  <c r="G168" i="16"/>
  <c r="G165" i="16"/>
  <c r="G154" i="16"/>
  <c r="D152" i="16"/>
  <c r="D148" i="16"/>
  <c r="G143" i="16"/>
  <c r="G174" i="16" s="1"/>
  <c r="D143" i="16"/>
  <c r="D142" i="16"/>
  <c r="G139" i="16"/>
  <c r="D138" i="16"/>
  <c r="D126" i="16"/>
  <c r="G123" i="16"/>
  <c r="D122" i="16"/>
  <c r="D153" i="16" s="1"/>
  <c r="G111" i="16"/>
  <c r="D111" i="16"/>
  <c r="G105" i="16"/>
  <c r="G102" i="16"/>
  <c r="G99" i="16"/>
  <c r="G95" i="16"/>
  <c r="D90" i="16"/>
  <c r="D89" i="16"/>
  <c r="D88" i="16"/>
  <c r="D87" i="16"/>
  <c r="D86" i="16"/>
  <c r="D85" i="16"/>
  <c r="D83" i="16"/>
  <c r="D82" i="16"/>
  <c r="D81" i="16"/>
  <c r="D80" i="16"/>
  <c r="G79" i="16"/>
  <c r="D76" i="16"/>
  <c r="D75" i="16"/>
  <c r="D74" i="16"/>
  <c r="D73" i="16"/>
  <c r="D72" i="16"/>
  <c r="D71" i="16"/>
  <c r="D70" i="16"/>
  <c r="D69" i="16"/>
  <c r="D68" i="16"/>
  <c r="D67" i="16"/>
  <c r="D66" i="16"/>
  <c r="D65" i="16"/>
  <c r="D64" i="16"/>
  <c r="D60" i="16"/>
  <c r="G57" i="16"/>
  <c r="D52" i="16"/>
  <c r="D47" i="16"/>
  <c r="G40" i="16"/>
  <c r="G33" i="16"/>
  <c r="G48" i="16" s="1"/>
  <c r="G32" i="16"/>
  <c r="D29" i="16"/>
  <c r="G27" i="16"/>
  <c r="D21" i="16"/>
  <c r="D35" i="16" s="1"/>
  <c r="D20" i="16"/>
  <c r="G19" i="16"/>
  <c r="D6" i="16"/>
  <c r="G6" i="16" s="1"/>
  <c r="E2" i="16"/>
  <c r="E1" i="16"/>
  <c r="G169" i="16" l="1"/>
  <c r="G140" i="16"/>
  <c r="G101" i="16"/>
  <c r="G106" i="16"/>
  <c r="G109" i="16" s="1"/>
  <c r="D155" i="16" s="1"/>
  <c r="G172" i="16" s="1"/>
  <c r="G181" i="16" s="1"/>
  <c r="D53" i="16"/>
  <c r="D61" i="16" s="1"/>
  <c r="D77" i="16"/>
  <c r="D91" i="16"/>
  <c r="D92" i="16"/>
  <c r="G175" i="15" l="1"/>
  <c r="G178" i="15" s="1"/>
  <c r="G168" i="15"/>
  <c r="G154" i="15"/>
  <c r="G169" i="15" s="1"/>
  <c r="D152" i="15"/>
  <c r="D148" i="15"/>
  <c r="G143" i="15"/>
  <c r="G174" i="15" s="1"/>
  <c r="D143" i="15"/>
  <c r="D142" i="15"/>
  <c r="G137" i="15"/>
  <c r="G139" i="15" s="1"/>
  <c r="D136" i="15"/>
  <c r="D138" i="15" s="1"/>
  <c r="D126" i="15"/>
  <c r="D122" i="15"/>
  <c r="G121" i="15"/>
  <c r="G111" i="15"/>
  <c r="D111" i="15"/>
  <c r="G105" i="15"/>
  <c r="G102" i="15"/>
  <c r="G97" i="15"/>
  <c r="G101" i="15" s="1"/>
  <c r="G93" i="15"/>
  <c r="D90" i="15"/>
  <c r="G89" i="15"/>
  <c r="G95" i="15" s="1"/>
  <c r="D89" i="15"/>
  <c r="D88" i="15"/>
  <c r="D87" i="15"/>
  <c r="D86" i="15"/>
  <c r="D85" i="15"/>
  <c r="D83" i="15"/>
  <c r="D82" i="15"/>
  <c r="D81" i="15"/>
  <c r="D80" i="15"/>
  <c r="G77" i="15"/>
  <c r="G79" i="15" s="1"/>
  <c r="D76" i="15"/>
  <c r="D75" i="15"/>
  <c r="D74" i="15"/>
  <c r="D73" i="15"/>
  <c r="D72" i="15"/>
  <c r="D71" i="15"/>
  <c r="D70" i="15"/>
  <c r="D69" i="15"/>
  <c r="D68" i="15"/>
  <c r="D67" i="15"/>
  <c r="D66" i="15"/>
  <c r="D65" i="15"/>
  <c r="D64" i="15"/>
  <c r="D60" i="15"/>
  <c r="G57" i="15"/>
  <c r="D50" i="15"/>
  <c r="D52" i="15" s="1"/>
  <c r="D42" i="15"/>
  <c r="D47" i="15" s="1"/>
  <c r="G40" i="15"/>
  <c r="G33" i="15"/>
  <c r="G48" i="15" s="1"/>
  <c r="G32" i="15"/>
  <c r="D29" i="15"/>
  <c r="D24" i="15"/>
  <c r="G23" i="15"/>
  <c r="G27" i="15" s="1"/>
  <c r="D22" i="15"/>
  <c r="D21" i="15"/>
  <c r="D19" i="15"/>
  <c r="D20" i="15" s="1"/>
  <c r="G7" i="15"/>
  <c r="G19" i="15" s="1"/>
  <c r="D6" i="15"/>
  <c r="G6" i="15" s="1"/>
  <c r="E2" i="15"/>
  <c r="E1" i="15"/>
  <c r="G123" i="15" l="1"/>
  <c r="G140" i="15" s="1"/>
  <c r="G106" i="15"/>
  <c r="D35" i="15"/>
  <c r="D77" i="15"/>
  <c r="D91" i="15"/>
  <c r="D153" i="15"/>
  <c r="G178" i="35"/>
  <c r="D53" i="15"/>
  <c r="D61" i="15" s="1"/>
  <c r="G109" i="15" s="1"/>
  <c r="D155" i="15" s="1"/>
  <c r="G172" i="15" s="1"/>
  <c r="G181" i="15" s="1"/>
  <c r="D92" i="15" l="1"/>
  <c r="G178" i="14"/>
  <c r="G168" i="14"/>
  <c r="G154" i="14"/>
  <c r="G169" i="14" s="1"/>
  <c r="D152" i="14"/>
  <c r="D148" i="14"/>
  <c r="G143" i="14"/>
  <c r="G174" i="14" s="1"/>
  <c r="D143" i="14"/>
  <c r="D142" i="14"/>
  <c r="G139" i="14"/>
  <c r="D138" i="14"/>
  <c r="D126" i="14"/>
  <c r="G123" i="14"/>
  <c r="D122" i="14"/>
  <c r="D153" i="14" s="1"/>
  <c r="G111" i="14"/>
  <c r="D111" i="14"/>
  <c r="G105" i="14"/>
  <c r="G102" i="14"/>
  <c r="G101" i="14"/>
  <c r="G95" i="14"/>
  <c r="D90" i="14"/>
  <c r="D89" i="14"/>
  <c r="D88" i="14"/>
  <c r="D87" i="14"/>
  <c r="D86" i="14"/>
  <c r="D85" i="14"/>
  <c r="D83" i="14"/>
  <c r="D82" i="14"/>
  <c r="D81" i="14"/>
  <c r="D80" i="14"/>
  <c r="G79" i="14"/>
  <c r="D76" i="14"/>
  <c r="D75" i="14"/>
  <c r="D74" i="14"/>
  <c r="D73" i="14"/>
  <c r="D72" i="14"/>
  <c r="D71" i="14"/>
  <c r="D70" i="14"/>
  <c r="D69" i="14"/>
  <c r="D68" i="14"/>
  <c r="D67" i="14"/>
  <c r="D66" i="14"/>
  <c r="D65" i="14"/>
  <c r="D64" i="14"/>
  <c r="D60" i="14"/>
  <c r="G57" i="14"/>
  <c r="G55" i="14"/>
  <c r="D52" i="14"/>
  <c r="D47" i="14"/>
  <c r="G40" i="14"/>
  <c r="G33" i="14"/>
  <c r="G32" i="14"/>
  <c r="D29" i="14"/>
  <c r="G27" i="14"/>
  <c r="D21" i="14"/>
  <c r="D20" i="14"/>
  <c r="G19" i="14"/>
  <c r="D6" i="14"/>
  <c r="G6" i="14" s="1"/>
  <c r="E2" i="14"/>
  <c r="E1" i="14"/>
  <c r="G48" i="14" l="1"/>
  <c r="G106" i="14" s="1"/>
  <c r="G140" i="14"/>
  <c r="D35" i="14"/>
  <c r="D53" i="14" s="1"/>
  <c r="D61" i="14" s="1"/>
  <c r="D77" i="14"/>
  <c r="D91" i="14"/>
  <c r="D92" i="14" s="1"/>
  <c r="G109" i="14" l="1"/>
  <c r="D155" i="14" s="1"/>
  <c r="G172" i="14" s="1"/>
  <c r="G181" i="14" s="1"/>
  <c r="G178" i="13"/>
  <c r="G168" i="13"/>
  <c r="G154" i="13"/>
  <c r="G169" i="13" s="1"/>
  <c r="D152" i="13"/>
  <c r="D148" i="13"/>
  <c r="G143" i="13"/>
  <c r="G174" i="13" s="1"/>
  <c r="D143" i="13"/>
  <c r="D140" i="13"/>
  <c r="G139" i="13"/>
  <c r="D136" i="13"/>
  <c r="D138" i="13" s="1"/>
  <c r="D126" i="13"/>
  <c r="D122" i="13"/>
  <c r="G116" i="13"/>
  <c r="G123" i="13" s="1"/>
  <c r="G140" i="13" s="1"/>
  <c r="G111" i="13"/>
  <c r="D111" i="13"/>
  <c r="G105" i="13"/>
  <c r="G102" i="13"/>
  <c r="G101" i="13"/>
  <c r="G93" i="13"/>
  <c r="G95" i="13" s="1"/>
  <c r="D90" i="13"/>
  <c r="D89" i="13"/>
  <c r="D88" i="13"/>
  <c r="D87" i="13"/>
  <c r="D86" i="13"/>
  <c r="D85" i="13"/>
  <c r="D83" i="13"/>
  <c r="D82" i="13"/>
  <c r="D81" i="13"/>
  <c r="D80" i="13"/>
  <c r="G79" i="13"/>
  <c r="D76" i="13"/>
  <c r="D75" i="13"/>
  <c r="D74" i="13"/>
  <c r="D73" i="13"/>
  <c r="D72" i="13"/>
  <c r="D71" i="13"/>
  <c r="D70" i="13"/>
  <c r="D69" i="13"/>
  <c r="D68" i="13"/>
  <c r="D67" i="13"/>
  <c r="D66" i="13"/>
  <c r="D65" i="13"/>
  <c r="D64" i="13"/>
  <c r="D60" i="13"/>
  <c r="G57" i="13"/>
  <c r="D50" i="13"/>
  <c r="D52" i="13" s="1"/>
  <c r="D42" i="13"/>
  <c r="G40" i="13"/>
  <c r="G33" i="13"/>
  <c r="G48" i="13" s="1"/>
  <c r="G32" i="13"/>
  <c r="D29" i="13"/>
  <c r="G27" i="13"/>
  <c r="D21" i="13"/>
  <c r="D35" i="13" s="1"/>
  <c r="G19" i="13"/>
  <c r="D19" i="13"/>
  <c r="D20" i="13" s="1"/>
  <c r="D6" i="13"/>
  <c r="G6" i="13" s="1"/>
  <c r="E2" i="13"/>
  <c r="E1" i="13"/>
  <c r="D47" i="13" l="1"/>
  <c r="D53" i="13" s="1"/>
  <c r="D61" i="13" s="1"/>
  <c r="D142" i="13"/>
  <c r="D142" i="36"/>
  <c r="D142" i="35"/>
  <c r="G106" i="13"/>
  <c r="D77" i="13"/>
  <c r="D153" i="13"/>
  <c r="D91" i="13"/>
  <c r="D92" i="13" s="1"/>
  <c r="G109" i="13" l="1"/>
  <c r="D155" i="13" s="1"/>
  <c r="G172" i="13" s="1"/>
  <c r="G181" i="13" s="1"/>
  <c r="G79" i="35" l="1"/>
  <c r="D126" i="36"/>
  <c r="D138" i="35"/>
  <c r="D47" i="35"/>
  <c r="G33" i="36"/>
  <c r="D29" i="35"/>
  <c r="G32" i="35"/>
  <c r="G139" i="35"/>
  <c r="G123" i="35"/>
  <c r="D122" i="35"/>
  <c r="D60" i="35"/>
  <c r="G57" i="35"/>
  <c r="G40" i="35"/>
  <c r="G27" i="35"/>
  <c r="G168" i="35"/>
  <c r="G154" i="35"/>
  <c r="G101" i="35"/>
  <c r="G33" i="35"/>
  <c r="G32" i="36"/>
  <c r="D21" i="35"/>
  <c r="D20" i="35"/>
  <c r="D126" i="35"/>
  <c r="G95" i="35"/>
  <c r="D60" i="36"/>
  <c r="D52" i="35"/>
  <c r="G40" i="36"/>
  <c r="G19" i="35"/>
  <c r="G178" i="11"/>
  <c r="G168" i="11"/>
  <c r="G154" i="11"/>
  <c r="G169" i="11" s="1"/>
  <c r="D152" i="11"/>
  <c r="D148" i="11"/>
  <c r="G143" i="11"/>
  <c r="G174" i="11" s="1"/>
  <c r="D143" i="11"/>
  <c r="D142" i="11"/>
  <c r="G139" i="11"/>
  <c r="D138" i="11"/>
  <c r="D126" i="11"/>
  <c r="G123" i="11"/>
  <c r="D122" i="11"/>
  <c r="D153" i="11" s="1"/>
  <c r="G111" i="11"/>
  <c r="D111" i="11"/>
  <c r="G105" i="11"/>
  <c r="G102" i="11"/>
  <c r="G101" i="11"/>
  <c r="G95" i="11"/>
  <c r="D90" i="11"/>
  <c r="D89" i="11"/>
  <c r="D88" i="11"/>
  <c r="D87" i="11"/>
  <c r="D86" i="11"/>
  <c r="D85" i="11"/>
  <c r="D83" i="11"/>
  <c r="D82" i="11"/>
  <c r="D81" i="11"/>
  <c r="D80" i="11"/>
  <c r="D91" i="11" s="1"/>
  <c r="G79" i="11"/>
  <c r="D76" i="11"/>
  <c r="D75" i="11"/>
  <c r="D74" i="11"/>
  <c r="D73" i="11"/>
  <c r="D72" i="11"/>
  <c r="D71" i="11"/>
  <c r="D70" i="11"/>
  <c r="D69" i="11"/>
  <c r="D68" i="11"/>
  <c r="D67" i="11"/>
  <c r="D66" i="11"/>
  <c r="D65" i="11"/>
  <c r="D64" i="11"/>
  <c r="D60" i="11"/>
  <c r="G57" i="11"/>
  <c r="D52" i="11"/>
  <c r="D47" i="11"/>
  <c r="G40" i="11"/>
  <c r="G33" i="11"/>
  <c r="G48" i="11" s="1"/>
  <c r="G32" i="11"/>
  <c r="D29" i="11"/>
  <c r="G27" i="11"/>
  <c r="D21" i="11"/>
  <c r="D35" i="11" s="1"/>
  <c r="D20" i="11"/>
  <c r="G19" i="11"/>
  <c r="D6" i="11"/>
  <c r="G6" i="11" s="1"/>
  <c r="E2" i="11"/>
  <c r="E1" i="11"/>
  <c r="D35" i="35" l="1"/>
  <c r="D53" i="35" s="1"/>
  <c r="D61" i="35" s="1"/>
  <c r="G140" i="11"/>
  <c r="G169" i="35"/>
  <c r="G106" i="11"/>
  <c r="D53" i="11"/>
  <c r="D61" i="11" s="1"/>
  <c r="D153" i="35"/>
  <c r="D77" i="11"/>
  <c r="D92" i="11" s="1"/>
  <c r="G48" i="35"/>
  <c r="G106" i="35" s="1"/>
  <c r="G140" i="35"/>
  <c r="G48" i="36"/>
  <c r="G109" i="11"/>
  <c r="D155" i="11" s="1"/>
  <c r="G172" i="11" s="1"/>
  <c r="G181" i="11" s="1"/>
  <c r="G109" i="35" l="1"/>
  <c r="D155" i="35" s="1"/>
  <c r="G172" i="35" s="1"/>
  <c r="G181" i="35" s="1"/>
  <c r="G178" i="10"/>
  <c r="G168" i="10"/>
  <c r="G154" i="10"/>
  <c r="G169" i="10" s="1"/>
  <c r="D152" i="10"/>
  <c r="D148" i="10"/>
  <c r="G143" i="10"/>
  <c r="G174" i="10" s="1"/>
  <c r="D143" i="10"/>
  <c r="D142" i="10"/>
  <c r="G139" i="10"/>
  <c r="D138" i="10"/>
  <c r="D126" i="10"/>
  <c r="D122" i="10"/>
  <c r="G117" i="10"/>
  <c r="G111" i="10"/>
  <c r="D111" i="10"/>
  <c r="G105" i="10"/>
  <c r="G102" i="10"/>
  <c r="G100" i="10"/>
  <c r="G101" i="10" s="1"/>
  <c r="G95" i="10"/>
  <c r="D90" i="10"/>
  <c r="D89" i="10"/>
  <c r="D88" i="10"/>
  <c r="D87" i="10"/>
  <c r="D86" i="10"/>
  <c r="D85" i="10"/>
  <c r="D83" i="10"/>
  <c r="D82" i="10"/>
  <c r="D81" i="10"/>
  <c r="D80" i="10"/>
  <c r="G79" i="10"/>
  <c r="D76" i="10"/>
  <c r="D75" i="10"/>
  <c r="D74" i="10"/>
  <c r="D73" i="10"/>
  <c r="D72" i="10"/>
  <c r="D71" i="10"/>
  <c r="D70" i="10"/>
  <c r="D69" i="10"/>
  <c r="D68" i="10"/>
  <c r="D67" i="10"/>
  <c r="D66" i="10"/>
  <c r="D65" i="10"/>
  <c r="D64" i="10"/>
  <c r="D60" i="10"/>
  <c r="G57" i="10"/>
  <c r="D52" i="10"/>
  <c r="D47" i="10"/>
  <c r="G40" i="10"/>
  <c r="G33" i="10"/>
  <c r="G32" i="10"/>
  <c r="D29" i="10"/>
  <c r="G27" i="10"/>
  <c r="D21" i="10"/>
  <c r="D35" i="10" s="1"/>
  <c r="D20" i="10"/>
  <c r="G19" i="10"/>
  <c r="D6" i="10"/>
  <c r="G6" i="10" s="1"/>
  <c r="E2" i="10"/>
  <c r="E1" i="10"/>
  <c r="D53" i="10" l="1"/>
  <c r="D61" i="10" s="1"/>
  <c r="G48" i="10"/>
  <c r="G117" i="34"/>
  <c r="G123" i="10"/>
  <c r="G140" i="10" s="1"/>
  <c r="G106" i="10"/>
  <c r="D153" i="10"/>
  <c r="G109" i="10"/>
  <c r="D155" i="10" s="1"/>
  <c r="G172" i="10" s="1"/>
  <c r="G181" i="10" s="1"/>
  <c r="D77" i="10"/>
  <c r="D91" i="10"/>
  <c r="D92" i="10" l="1"/>
  <c r="G178" i="9"/>
  <c r="G168" i="9"/>
  <c r="G154" i="9"/>
  <c r="G169" i="9" s="1"/>
  <c r="D152" i="9"/>
  <c r="D148" i="9"/>
  <c r="G143" i="9"/>
  <c r="G174" i="9" s="1"/>
  <c r="D143" i="9"/>
  <c r="D142" i="9"/>
  <c r="G139" i="9"/>
  <c r="D138" i="9"/>
  <c r="D126" i="9"/>
  <c r="G123" i="9"/>
  <c r="D122" i="9"/>
  <c r="D153" i="9" s="1"/>
  <c r="G111" i="9"/>
  <c r="D111" i="9"/>
  <c r="G105" i="9"/>
  <c r="G102" i="9"/>
  <c r="G101" i="9"/>
  <c r="G95" i="9"/>
  <c r="D90" i="9"/>
  <c r="D89" i="9"/>
  <c r="D88" i="9"/>
  <c r="D87" i="9"/>
  <c r="D86" i="9"/>
  <c r="D85" i="9"/>
  <c r="D83" i="9"/>
  <c r="D82" i="9"/>
  <c r="D81" i="9"/>
  <c r="D80" i="9"/>
  <c r="D91" i="9" s="1"/>
  <c r="G79" i="9"/>
  <c r="D76" i="9"/>
  <c r="D75" i="9"/>
  <c r="D74" i="9"/>
  <c r="D73" i="9"/>
  <c r="D72" i="9"/>
  <c r="D71" i="9"/>
  <c r="D70" i="9"/>
  <c r="D69" i="9"/>
  <c r="D68" i="9"/>
  <c r="D67" i="9"/>
  <c r="D66" i="9"/>
  <c r="D65" i="9"/>
  <c r="D64" i="9"/>
  <c r="D60" i="9"/>
  <c r="G57" i="9"/>
  <c r="D52" i="9"/>
  <c r="D47" i="9"/>
  <c r="G40" i="9"/>
  <c r="G33" i="9"/>
  <c r="G48" i="9" s="1"/>
  <c r="G32" i="9"/>
  <c r="D29" i="9"/>
  <c r="G27" i="9"/>
  <c r="D21" i="9"/>
  <c r="D35" i="9" s="1"/>
  <c r="D20" i="9"/>
  <c r="G19" i="9"/>
  <c r="D6" i="9"/>
  <c r="G6" i="9" s="1"/>
  <c r="E2" i="9"/>
  <c r="E1" i="9"/>
  <c r="D77" i="9" l="1"/>
  <c r="D92" i="9" s="1"/>
  <c r="G140" i="9"/>
  <c r="G106" i="9"/>
  <c r="D53" i="9"/>
  <c r="D61" i="9" s="1"/>
  <c r="G109" i="9" s="1"/>
  <c r="D155" i="9" s="1"/>
  <c r="G172" i="9" s="1"/>
  <c r="G181" i="9" s="1"/>
  <c r="G178" i="8" l="1"/>
  <c r="G168" i="8"/>
  <c r="G166" i="8"/>
  <c r="D152" i="8"/>
  <c r="D148" i="8"/>
  <c r="G144" i="8"/>
  <c r="G143" i="8"/>
  <c r="G174" i="8" s="1"/>
  <c r="D143" i="8"/>
  <c r="D142" i="8"/>
  <c r="G139" i="8"/>
  <c r="D136" i="8"/>
  <c r="D138" i="8" s="1"/>
  <c r="D126" i="8"/>
  <c r="G123" i="8"/>
  <c r="D116" i="8"/>
  <c r="D122" i="8" s="1"/>
  <c r="G111" i="8"/>
  <c r="D111" i="8"/>
  <c r="G105" i="8"/>
  <c r="G102" i="8"/>
  <c r="G101" i="8"/>
  <c r="G93" i="8"/>
  <c r="G91" i="8"/>
  <c r="D90" i="8"/>
  <c r="D89" i="8"/>
  <c r="D88" i="8"/>
  <c r="D87" i="8"/>
  <c r="D86" i="8"/>
  <c r="D85" i="8"/>
  <c r="D83" i="8"/>
  <c r="D82" i="8"/>
  <c r="D81" i="8"/>
  <c r="D80" i="8"/>
  <c r="G77" i="8"/>
  <c r="G79" i="8" s="1"/>
  <c r="D76" i="8"/>
  <c r="D75" i="8"/>
  <c r="D74" i="8"/>
  <c r="D73" i="8"/>
  <c r="D72" i="8"/>
  <c r="D71" i="8"/>
  <c r="D70" i="8"/>
  <c r="D69" i="8"/>
  <c r="D68" i="8"/>
  <c r="D67" i="8"/>
  <c r="D66" i="8"/>
  <c r="D65" i="8"/>
  <c r="D64" i="8"/>
  <c r="D60" i="8"/>
  <c r="D52" i="8"/>
  <c r="G49" i="8"/>
  <c r="D45" i="8"/>
  <c r="D47" i="8" s="1"/>
  <c r="G40" i="8"/>
  <c r="G33" i="8"/>
  <c r="D33" i="8"/>
  <c r="G32" i="8"/>
  <c r="D29" i="8"/>
  <c r="D27" i="8"/>
  <c r="D26" i="8"/>
  <c r="G23" i="8"/>
  <c r="G22" i="8"/>
  <c r="G21" i="8"/>
  <c r="D21" i="8"/>
  <c r="G15" i="8"/>
  <c r="G11" i="8"/>
  <c r="G10" i="8"/>
  <c r="G9" i="8"/>
  <c r="G8" i="8"/>
  <c r="D8" i="8"/>
  <c r="D7" i="8"/>
  <c r="D6" i="8"/>
  <c r="G6" i="8" s="1"/>
  <c r="G178" i="7"/>
  <c r="G168" i="7"/>
  <c r="G154" i="7"/>
  <c r="D152" i="7"/>
  <c r="D148" i="7"/>
  <c r="G143" i="7"/>
  <c r="G174" i="7" s="1"/>
  <c r="D143" i="7"/>
  <c r="D142" i="7"/>
  <c r="G139" i="7"/>
  <c r="D134" i="7"/>
  <c r="D126" i="7"/>
  <c r="G123" i="7"/>
  <c r="G140" i="7" s="1"/>
  <c r="D122" i="7"/>
  <c r="G111" i="7"/>
  <c r="D111" i="7"/>
  <c r="G105" i="7"/>
  <c r="G102" i="7"/>
  <c r="G101" i="7"/>
  <c r="G95" i="7"/>
  <c r="D90" i="7"/>
  <c r="D89" i="7"/>
  <c r="D88" i="7"/>
  <c r="D87" i="7"/>
  <c r="D86" i="7"/>
  <c r="D85" i="7"/>
  <c r="D83" i="7"/>
  <c r="D82" i="7"/>
  <c r="D81" i="7"/>
  <c r="D80" i="7"/>
  <c r="G77" i="7"/>
  <c r="D76" i="7"/>
  <c r="D75" i="7"/>
  <c r="D74" i="7"/>
  <c r="D73" i="7"/>
  <c r="D72" i="7"/>
  <c r="D71" i="7"/>
  <c r="G70" i="7"/>
  <c r="D70" i="7"/>
  <c r="D69" i="7"/>
  <c r="D68" i="7"/>
  <c r="D67" i="7"/>
  <c r="D66" i="7"/>
  <c r="D65" i="7"/>
  <c r="D64" i="7"/>
  <c r="D60" i="7"/>
  <c r="G59" i="7"/>
  <c r="G57" i="7"/>
  <c r="D52" i="7"/>
  <c r="D47" i="7"/>
  <c r="G40" i="7"/>
  <c r="G33" i="7"/>
  <c r="G32" i="7"/>
  <c r="D29" i="7"/>
  <c r="G27" i="7"/>
  <c r="D22" i="7"/>
  <c r="D21" i="7"/>
  <c r="D35" i="7" s="1"/>
  <c r="D20" i="7"/>
  <c r="G19" i="7"/>
  <c r="D6" i="7"/>
  <c r="G6" i="7" s="1"/>
  <c r="E2" i="7"/>
  <c r="E1" i="7"/>
  <c r="D35" i="8" l="1"/>
  <c r="G48" i="7"/>
  <c r="G169" i="7"/>
  <c r="G48" i="8"/>
  <c r="G140" i="8"/>
  <c r="D20" i="8"/>
  <c r="D7" i="34"/>
  <c r="D8" i="34"/>
  <c r="D26" i="34"/>
  <c r="D27" i="34"/>
  <c r="G57" i="8"/>
  <c r="G57" i="36"/>
  <c r="G49" i="34"/>
  <c r="G57" i="34" s="1"/>
  <c r="G95" i="8"/>
  <c r="D53" i="7"/>
  <c r="D61" i="7" s="1"/>
  <c r="D22" i="34"/>
  <c r="G79" i="7"/>
  <c r="G106" i="7" s="1"/>
  <c r="G109" i="7" s="1"/>
  <c r="D138" i="7"/>
  <c r="D153" i="7" s="1"/>
  <c r="D134" i="34"/>
  <c r="G19" i="8"/>
  <c r="G27" i="8"/>
  <c r="D33" i="34"/>
  <c r="D29" i="34" s="1"/>
  <c r="D29" i="36"/>
  <c r="D91" i="8"/>
  <c r="D153" i="8"/>
  <c r="G154" i="8"/>
  <c r="G169" i="8" s="1"/>
  <c r="G144" i="34"/>
  <c r="G154" i="34" s="1"/>
  <c r="G154" i="36"/>
  <c r="D77" i="7"/>
  <c r="D91" i="7"/>
  <c r="D77" i="8"/>
  <c r="D53" i="8"/>
  <c r="D61" i="8" s="1"/>
  <c r="G106" i="8"/>
  <c r="D21" i="36" l="1"/>
  <c r="D35" i="36" s="1"/>
  <c r="D92" i="8"/>
  <c r="D155" i="7"/>
  <c r="G172" i="7" s="1"/>
  <c r="G181" i="7" s="1"/>
  <c r="D20" i="36"/>
  <c r="D21" i="34"/>
  <c r="D35" i="34" s="1"/>
  <c r="D20" i="34"/>
  <c r="D92" i="7"/>
  <c r="G109" i="8"/>
  <c r="D155" i="8" s="1"/>
  <c r="G172" i="8" s="1"/>
  <c r="G181" i="8" s="1"/>
  <c r="G178" i="6" l="1"/>
  <c r="G168" i="6"/>
  <c r="G166" i="6"/>
  <c r="G154" i="6"/>
  <c r="D152" i="6"/>
  <c r="D148" i="6"/>
  <c r="G143" i="6"/>
  <c r="G174" i="6" s="1"/>
  <c r="D143" i="6"/>
  <c r="D142" i="6"/>
  <c r="D137" i="6"/>
  <c r="D136" i="6"/>
  <c r="D135" i="6"/>
  <c r="G129" i="6"/>
  <c r="G139" i="6" s="1"/>
  <c r="D128" i="6"/>
  <c r="D126" i="6"/>
  <c r="G123" i="6"/>
  <c r="D121" i="6"/>
  <c r="D116" i="6"/>
  <c r="D115" i="6"/>
  <c r="D113" i="6"/>
  <c r="D112" i="6"/>
  <c r="G111" i="6"/>
  <c r="D111" i="6"/>
  <c r="G105" i="6"/>
  <c r="G102" i="6"/>
  <c r="G101" i="6"/>
  <c r="D90" i="6"/>
  <c r="G89" i="6"/>
  <c r="D89" i="6"/>
  <c r="D88" i="6"/>
  <c r="D87" i="6"/>
  <c r="D86" i="6"/>
  <c r="D85" i="6"/>
  <c r="D83" i="6"/>
  <c r="D82" i="6"/>
  <c r="D81" i="6"/>
  <c r="D80" i="6"/>
  <c r="G78" i="6"/>
  <c r="G77" i="6"/>
  <c r="G76" i="6"/>
  <c r="D76" i="6"/>
  <c r="D75" i="6"/>
  <c r="D74" i="6"/>
  <c r="D73" i="6"/>
  <c r="D72" i="6"/>
  <c r="D71" i="6"/>
  <c r="D70" i="6"/>
  <c r="D69" i="6"/>
  <c r="D68" i="6"/>
  <c r="D67" i="6"/>
  <c r="D66" i="6"/>
  <c r="D65" i="6"/>
  <c r="D64" i="6"/>
  <c r="G61" i="6"/>
  <c r="G60" i="6"/>
  <c r="D60" i="6"/>
  <c r="G59" i="6"/>
  <c r="G57" i="6"/>
  <c r="D51" i="6"/>
  <c r="D50" i="6"/>
  <c r="D47" i="6"/>
  <c r="G40" i="6"/>
  <c r="G33" i="6"/>
  <c r="G32" i="6"/>
  <c r="D29" i="6"/>
  <c r="G26" i="6"/>
  <c r="G25" i="6"/>
  <c r="G23" i="6"/>
  <c r="G21" i="6"/>
  <c r="D21" i="6"/>
  <c r="D35" i="6" s="1"/>
  <c r="D20" i="6"/>
  <c r="G18" i="6"/>
  <c r="G16" i="6"/>
  <c r="G15" i="6"/>
  <c r="G14" i="6"/>
  <c r="G13" i="6"/>
  <c r="G11" i="6"/>
  <c r="G10" i="6"/>
  <c r="G9" i="6"/>
  <c r="G8" i="6"/>
  <c r="D6" i="6"/>
  <c r="G6" i="6" s="1"/>
  <c r="E2" i="6"/>
  <c r="E1" i="6"/>
  <c r="G169" i="6" l="1"/>
  <c r="G48" i="6"/>
  <c r="G19" i="6"/>
  <c r="D52" i="6"/>
  <c r="D50" i="34"/>
  <c r="G79" i="6"/>
  <c r="G95" i="6"/>
  <c r="G95" i="34"/>
  <c r="G95" i="36"/>
  <c r="D113" i="34"/>
  <c r="G140" i="6"/>
  <c r="D138" i="6"/>
  <c r="D136" i="34"/>
  <c r="G27" i="6"/>
  <c r="D51" i="34"/>
  <c r="D91" i="6"/>
  <c r="D122" i="6"/>
  <c r="D112" i="34"/>
  <c r="D115" i="34"/>
  <c r="D121" i="34"/>
  <c r="D128" i="34"/>
  <c r="D135" i="34"/>
  <c r="D137" i="34"/>
  <c r="G166" i="34"/>
  <c r="D77" i="6"/>
  <c r="D92" i="6" s="1"/>
  <c r="D53" i="6"/>
  <c r="D61" i="6" s="1"/>
  <c r="G106" i="6"/>
  <c r="D153" i="6"/>
  <c r="G19" i="34" l="1"/>
  <c r="D138" i="34"/>
  <c r="D52" i="36"/>
  <c r="D138" i="36"/>
  <c r="G19" i="36"/>
  <c r="D52" i="34"/>
  <c r="G109" i="6"/>
  <c r="D155" i="6" s="1"/>
  <c r="G172" i="6" s="1"/>
  <c r="G181" i="6" s="1"/>
  <c r="G178" i="5" l="1"/>
  <c r="G168" i="5"/>
  <c r="G154" i="5"/>
  <c r="D152" i="5"/>
  <c r="D148" i="5"/>
  <c r="G143" i="5"/>
  <c r="G174" i="5" s="1"/>
  <c r="D143" i="5"/>
  <c r="D142" i="5"/>
  <c r="G139" i="5"/>
  <c r="D138" i="5"/>
  <c r="D126" i="5"/>
  <c r="G123" i="5"/>
  <c r="G140" i="5" s="1"/>
  <c r="D122" i="5"/>
  <c r="G111" i="5"/>
  <c r="D111" i="5"/>
  <c r="G105" i="5"/>
  <c r="G102" i="5"/>
  <c r="G101" i="5"/>
  <c r="G95" i="5"/>
  <c r="D90" i="5"/>
  <c r="D89" i="5"/>
  <c r="D88" i="5"/>
  <c r="D87" i="5"/>
  <c r="D86" i="5"/>
  <c r="D85" i="5"/>
  <c r="D83" i="5"/>
  <c r="D82" i="5"/>
  <c r="D81" i="5"/>
  <c r="D80" i="5"/>
  <c r="G79" i="5"/>
  <c r="D76" i="5"/>
  <c r="D75" i="5"/>
  <c r="D74" i="5"/>
  <c r="D73" i="5"/>
  <c r="D72" i="5"/>
  <c r="D71" i="5"/>
  <c r="D70" i="5"/>
  <c r="D69" i="5"/>
  <c r="D68" i="5"/>
  <c r="D67" i="5"/>
  <c r="D66" i="5"/>
  <c r="D65" i="5"/>
  <c r="D64" i="5"/>
  <c r="D60" i="5"/>
  <c r="G57" i="5"/>
  <c r="D52" i="5"/>
  <c r="D47" i="5"/>
  <c r="G40" i="5"/>
  <c r="G33" i="5"/>
  <c r="G32" i="5"/>
  <c r="D29" i="5"/>
  <c r="G27" i="5"/>
  <c r="D21" i="5"/>
  <c r="D20" i="5"/>
  <c r="G19" i="5"/>
  <c r="D6" i="5"/>
  <c r="G6" i="5" s="1"/>
  <c r="E2" i="5"/>
  <c r="E1" i="5"/>
  <c r="G48" i="5" l="1"/>
  <c r="G106" i="5" s="1"/>
  <c r="G169" i="5"/>
  <c r="D35" i="5"/>
  <c r="D53" i="5" s="1"/>
  <c r="D61" i="5" s="1"/>
  <c r="D91" i="5"/>
  <c r="D153" i="5"/>
  <c r="D77" i="5"/>
  <c r="D92" i="5" s="1"/>
  <c r="G109" i="5" l="1"/>
  <c r="D155" i="5" s="1"/>
  <c r="G172" i="5" s="1"/>
  <c r="G181" i="5" s="1"/>
  <c r="G178" i="4"/>
  <c r="G161" i="4"/>
  <c r="G154" i="4"/>
  <c r="D152" i="4"/>
  <c r="D148" i="4"/>
  <c r="G143" i="4"/>
  <c r="G174" i="4" s="1"/>
  <c r="D143" i="4"/>
  <c r="D142" i="4"/>
  <c r="G139" i="4"/>
  <c r="D138" i="4"/>
  <c r="D126" i="4"/>
  <c r="G123" i="4"/>
  <c r="D122" i="4"/>
  <c r="G111" i="4"/>
  <c r="D111" i="4"/>
  <c r="G105" i="4"/>
  <c r="G102" i="4"/>
  <c r="G101" i="4"/>
  <c r="G95" i="4"/>
  <c r="D90" i="4"/>
  <c r="D89" i="4"/>
  <c r="D88" i="4"/>
  <c r="D87" i="4"/>
  <c r="D86" i="4"/>
  <c r="D85" i="4"/>
  <c r="D83" i="4"/>
  <c r="D82" i="4"/>
  <c r="D81" i="4"/>
  <c r="D80" i="4"/>
  <c r="G79" i="4"/>
  <c r="D76" i="4"/>
  <c r="D75" i="4"/>
  <c r="D74" i="4"/>
  <c r="D73" i="4"/>
  <c r="D72" i="4"/>
  <c r="D71" i="4"/>
  <c r="D70" i="4"/>
  <c r="D69" i="4"/>
  <c r="D68" i="4"/>
  <c r="D67" i="4"/>
  <c r="D66" i="4"/>
  <c r="D65" i="4"/>
  <c r="D64" i="4"/>
  <c r="D60" i="4"/>
  <c r="G57" i="4"/>
  <c r="D52" i="4"/>
  <c r="D47" i="4"/>
  <c r="G40" i="4"/>
  <c r="G33" i="4"/>
  <c r="G48" i="4" s="1"/>
  <c r="G32" i="4"/>
  <c r="D29" i="4"/>
  <c r="G27" i="4"/>
  <c r="D21" i="4"/>
  <c r="D20" i="4"/>
  <c r="G19" i="4"/>
  <c r="G106" i="4" s="1"/>
  <c r="D6" i="4"/>
  <c r="G6" i="4" s="1"/>
  <c r="E2" i="4"/>
  <c r="E1" i="4"/>
  <c r="G140" i="4" l="1"/>
  <c r="G168" i="4"/>
  <c r="G169" i="4" s="1"/>
  <c r="G161" i="34"/>
  <c r="D35" i="4"/>
  <c r="D53" i="4" s="1"/>
  <c r="D61" i="4" s="1"/>
  <c r="G109" i="4" s="1"/>
  <c r="D155" i="4" s="1"/>
  <c r="D77" i="4"/>
  <c r="D91" i="4"/>
  <c r="D153" i="4"/>
  <c r="G172" i="4" l="1"/>
  <c r="G181" i="4" s="1"/>
  <c r="D92" i="4"/>
  <c r="G177" i="3" l="1"/>
  <c r="G168" i="3"/>
  <c r="G154" i="3"/>
  <c r="D152" i="3"/>
  <c r="D148" i="3"/>
  <c r="G143" i="3"/>
  <c r="G174" i="3" s="1"/>
  <c r="D143" i="3"/>
  <c r="D142" i="3"/>
  <c r="G139" i="3"/>
  <c r="D138" i="3"/>
  <c r="D126" i="3"/>
  <c r="G123" i="3"/>
  <c r="D122" i="3"/>
  <c r="G111" i="3"/>
  <c r="D111" i="3"/>
  <c r="G105" i="3"/>
  <c r="G102" i="3"/>
  <c r="G101" i="3"/>
  <c r="G95" i="3"/>
  <c r="D90" i="3"/>
  <c r="D89" i="3"/>
  <c r="D88" i="3"/>
  <c r="D87" i="3"/>
  <c r="D86" i="3"/>
  <c r="D85" i="3"/>
  <c r="D83" i="3"/>
  <c r="D82" i="3"/>
  <c r="D81" i="3"/>
  <c r="D80" i="3"/>
  <c r="G79" i="3"/>
  <c r="D76" i="3"/>
  <c r="D75" i="3"/>
  <c r="D74" i="3"/>
  <c r="D73" i="3"/>
  <c r="D72" i="3"/>
  <c r="D71" i="3"/>
  <c r="D70" i="3"/>
  <c r="D69" i="3"/>
  <c r="D68" i="3"/>
  <c r="D67" i="3"/>
  <c r="D66" i="3"/>
  <c r="D65" i="3"/>
  <c r="D64" i="3"/>
  <c r="G57" i="3"/>
  <c r="D52" i="3"/>
  <c r="D47" i="3"/>
  <c r="G40" i="3"/>
  <c r="G33" i="3"/>
  <c r="G32" i="3"/>
  <c r="D29" i="3"/>
  <c r="G27" i="3"/>
  <c r="D21" i="3"/>
  <c r="D20" i="3"/>
  <c r="G19" i="3"/>
  <c r="D6" i="3"/>
  <c r="G6" i="3" s="1"/>
  <c r="E2" i="3"/>
  <c r="E1" i="3"/>
  <c r="G140" i="3" l="1"/>
  <c r="G48" i="3"/>
  <c r="G106" i="3" s="1"/>
  <c r="G169" i="3"/>
  <c r="D35" i="3"/>
  <c r="D53" i="3" s="1"/>
  <c r="D61" i="3" s="1"/>
  <c r="D77" i="3"/>
  <c r="D92" i="3" s="1"/>
  <c r="D91" i="3"/>
  <c r="D153" i="3"/>
  <c r="G178" i="3"/>
  <c r="G178" i="36"/>
  <c r="G177" i="34"/>
  <c r="G178" i="34" s="1"/>
  <c r="G109" i="3" l="1"/>
  <c r="D155" i="3" s="1"/>
  <c r="G172" i="3" s="1"/>
  <c r="G181" i="3" s="1"/>
  <c r="G178" i="2"/>
  <c r="G156" i="2"/>
  <c r="G154" i="2"/>
  <c r="D152" i="2"/>
  <c r="D148" i="2"/>
  <c r="G143" i="2"/>
  <c r="G174" i="2" s="1"/>
  <c r="D143" i="2"/>
  <c r="D142" i="2"/>
  <c r="D138" i="2"/>
  <c r="G129" i="2"/>
  <c r="D126" i="2"/>
  <c r="G121" i="2"/>
  <c r="D116" i="2"/>
  <c r="G111" i="2"/>
  <c r="D111" i="2"/>
  <c r="G105" i="2"/>
  <c r="G102" i="2"/>
  <c r="G100" i="2"/>
  <c r="G101" i="2" s="1"/>
  <c r="G95" i="2"/>
  <c r="D90" i="2"/>
  <c r="D89" i="2"/>
  <c r="D88" i="2"/>
  <c r="D87" i="2"/>
  <c r="D86" i="2"/>
  <c r="D85" i="2"/>
  <c r="D83" i="2"/>
  <c r="D82" i="2"/>
  <c r="D81" i="2"/>
  <c r="D80" i="2"/>
  <c r="G77" i="2"/>
  <c r="D76" i="2"/>
  <c r="D75" i="2"/>
  <c r="D74" i="2"/>
  <c r="D73" i="2"/>
  <c r="D72" i="2"/>
  <c r="D71" i="2"/>
  <c r="D70" i="2"/>
  <c r="D69" i="2"/>
  <c r="D68" i="2"/>
  <c r="D67" i="2"/>
  <c r="D66" i="2"/>
  <c r="D65" i="2"/>
  <c r="D64" i="2"/>
  <c r="D60" i="2"/>
  <c r="G57" i="2"/>
  <c r="D52" i="2"/>
  <c r="D46" i="2"/>
  <c r="D45" i="2"/>
  <c r="D42" i="2"/>
  <c r="G40" i="2"/>
  <c r="D36" i="2"/>
  <c r="G33" i="2"/>
  <c r="G48" i="2" s="1"/>
  <c r="G32" i="2"/>
  <c r="D29" i="2"/>
  <c r="G23" i="2"/>
  <c r="D21" i="2"/>
  <c r="D35" i="2" s="1"/>
  <c r="D20" i="2"/>
  <c r="G19" i="2"/>
  <c r="D6" i="2"/>
  <c r="G6" i="2" s="1"/>
  <c r="E2" i="2"/>
  <c r="E1" i="2"/>
  <c r="D47" i="2" l="1"/>
  <c r="D53" i="2" s="1"/>
  <c r="D61" i="2" s="1"/>
  <c r="D36" i="34"/>
  <c r="D45" i="34"/>
  <c r="D122" i="2"/>
  <c r="D153" i="2" s="1"/>
  <c r="D116" i="34"/>
  <c r="D122" i="34" s="1"/>
  <c r="D122" i="36"/>
  <c r="G129" i="34"/>
  <c r="G139" i="34" s="1"/>
  <c r="G139" i="36"/>
  <c r="G139" i="2"/>
  <c r="G168" i="2"/>
  <c r="G169" i="2" s="1"/>
  <c r="G156" i="34"/>
  <c r="G27" i="34"/>
  <c r="G27" i="36"/>
  <c r="G27" i="2"/>
  <c r="D42" i="34"/>
  <c r="D46" i="34"/>
  <c r="G79" i="2"/>
  <c r="G79" i="34"/>
  <c r="G79" i="36"/>
  <c r="D91" i="2"/>
  <c r="G101" i="36"/>
  <c r="G101" i="34"/>
  <c r="G123" i="2"/>
  <c r="G140" i="2" s="1"/>
  <c r="G123" i="36"/>
  <c r="G121" i="34"/>
  <c r="G123" i="34" s="1"/>
  <c r="D77" i="2"/>
  <c r="D92" i="2" s="1"/>
  <c r="G140" i="34" l="1"/>
  <c r="G140" i="36"/>
  <c r="G106" i="2"/>
  <c r="G109" i="2"/>
  <c r="D155" i="2" s="1"/>
  <c r="G172" i="2" s="1"/>
  <c r="G181" i="2" s="1"/>
  <c r="D47" i="36"/>
  <c r="D53" i="36" s="1"/>
  <c r="D61" i="36" s="1"/>
  <c r="D47" i="34"/>
  <c r="D53" i="34" s="1"/>
  <c r="D61" i="34" s="1"/>
  <c r="G178" i="1" l="1"/>
  <c r="G168" i="1"/>
  <c r="G167" i="1"/>
  <c r="G154" i="1"/>
  <c r="D149" i="1"/>
  <c r="D148" i="1"/>
  <c r="G143" i="1"/>
  <c r="G174" i="1" s="1"/>
  <c r="D143" i="1"/>
  <c r="D142" i="1"/>
  <c r="G139" i="1"/>
  <c r="D138" i="1"/>
  <c r="D126" i="1"/>
  <c r="G123" i="1"/>
  <c r="D122" i="1"/>
  <c r="G111" i="1"/>
  <c r="D111" i="1"/>
  <c r="G105" i="1"/>
  <c r="G102" i="1"/>
  <c r="G101" i="1"/>
  <c r="G95" i="1"/>
  <c r="D90" i="1"/>
  <c r="D89" i="1"/>
  <c r="D88" i="1"/>
  <c r="D87" i="1"/>
  <c r="D86" i="1"/>
  <c r="D85" i="1"/>
  <c r="D83" i="1"/>
  <c r="D82" i="1"/>
  <c r="D81" i="1"/>
  <c r="D80" i="1"/>
  <c r="G79" i="1"/>
  <c r="D76" i="1"/>
  <c r="D75" i="1"/>
  <c r="D74" i="1"/>
  <c r="D73" i="1"/>
  <c r="D72" i="1"/>
  <c r="D71" i="1"/>
  <c r="D70" i="1"/>
  <c r="D69" i="1"/>
  <c r="D68" i="1"/>
  <c r="D67" i="1"/>
  <c r="D66" i="1"/>
  <c r="D65" i="1"/>
  <c r="D64" i="1"/>
  <c r="D60" i="1"/>
  <c r="G57" i="1"/>
  <c r="D52" i="1"/>
  <c r="D47" i="1"/>
  <c r="G40" i="1"/>
  <c r="G33" i="1"/>
  <c r="G32" i="1"/>
  <c r="D29" i="1"/>
  <c r="G27" i="1"/>
  <c r="D21" i="1"/>
  <c r="D35" i="1" s="1"/>
  <c r="D53" i="1" s="1"/>
  <c r="D61" i="1" s="1"/>
  <c r="D20" i="1"/>
  <c r="G19" i="1"/>
  <c r="D6" i="1"/>
  <c r="G6" i="1" s="1"/>
  <c r="E2" i="1"/>
  <c r="E1" i="1"/>
  <c r="G169" i="1" l="1"/>
  <c r="G48" i="1"/>
  <c r="G140" i="1"/>
  <c r="D152" i="1"/>
  <c r="D153" i="1" s="1"/>
  <c r="D152" i="36"/>
  <c r="D149" i="34"/>
  <c r="D152" i="34" s="1"/>
  <c r="D77" i="1"/>
  <c r="G167" i="34"/>
  <c r="G168" i="34" s="1"/>
  <c r="G169" i="34" s="1"/>
  <c r="G168" i="36"/>
  <c r="G169" i="36" s="1"/>
  <c r="D143" i="34"/>
  <c r="D91" i="1"/>
  <c r="D92" i="1" s="1"/>
  <c r="G106" i="36"/>
  <c r="G102" i="34"/>
  <c r="G106" i="34" s="1"/>
  <c r="G109" i="34" s="1"/>
  <c r="G106" i="1"/>
  <c r="G109" i="1"/>
  <c r="G109" i="36" l="1"/>
  <c r="D153" i="36"/>
  <c r="D155" i="36" s="1"/>
  <c r="D153" i="34"/>
  <c r="D155" i="34" s="1"/>
  <c r="D155" i="1"/>
  <c r="G172" i="1" s="1"/>
  <c r="G181" i="1" s="1"/>
  <c r="G172" i="34" l="1"/>
  <c r="G181" i="34" s="1"/>
  <c r="G172" i="36"/>
  <c r="G181" i="36" l="1"/>
</calcChain>
</file>

<file path=xl/comments1.xml><?xml version="1.0" encoding="utf-8"?>
<comments xmlns="http://schemas.openxmlformats.org/spreadsheetml/2006/main">
  <authors>
    <author>Informatica</author>
  </authors>
  <commentList>
    <comment ref="G102" authorId="0">
      <text>
        <r>
          <rPr>
            <b/>
            <sz val="8"/>
            <color indexed="81"/>
            <rFont val="Tahoma"/>
            <family val="2"/>
          </rPr>
          <t>Ingresar Detalle en la Hoja de Amortizaciones</t>
        </r>
        <r>
          <rPr>
            <sz val="8"/>
            <color indexed="81"/>
            <rFont val="Tahoma"/>
            <family val="2"/>
          </rPr>
          <t xml:space="preserve">
</t>
        </r>
      </text>
    </comment>
    <comment ref="D143" authorId="0">
      <text>
        <r>
          <rPr>
            <b/>
            <sz val="8"/>
            <color indexed="81"/>
            <rFont val="Tahoma"/>
            <family val="2"/>
          </rPr>
          <t>Ingresar Detalle en la hoja de Amortizaciones</t>
        </r>
      </text>
    </comment>
  </commentList>
</comments>
</file>

<file path=xl/comments2.xml><?xml version="1.0" encoding="utf-8"?>
<comments xmlns="http://schemas.openxmlformats.org/spreadsheetml/2006/main">
  <authors>
    <author>Informatica</author>
  </authors>
  <commentList>
    <comment ref="G102" authorId="0">
      <text>
        <r>
          <rPr>
            <b/>
            <sz val="8"/>
            <color indexed="81"/>
            <rFont val="Tahoma"/>
            <family val="2"/>
          </rPr>
          <t>Ingresar Detalle en la Hoja de Amortizaciones</t>
        </r>
        <r>
          <rPr>
            <sz val="8"/>
            <color indexed="81"/>
            <rFont val="Tahoma"/>
            <family val="2"/>
          </rPr>
          <t xml:space="preserve">
</t>
        </r>
      </text>
    </comment>
    <comment ref="D143" authorId="0">
      <text>
        <r>
          <rPr>
            <b/>
            <sz val="8"/>
            <color indexed="81"/>
            <rFont val="Tahoma"/>
            <family val="2"/>
          </rPr>
          <t>Ingresar Detalle en la hoja de Amortizaciones</t>
        </r>
      </text>
    </comment>
  </commentList>
</comments>
</file>

<file path=xl/comments3.xml><?xml version="1.0" encoding="utf-8"?>
<comments xmlns="http://schemas.openxmlformats.org/spreadsheetml/2006/main">
  <authors>
    <author>Informatica</author>
  </authors>
  <commentList>
    <comment ref="G102" authorId="0">
      <text>
        <r>
          <rPr>
            <b/>
            <sz val="8"/>
            <color indexed="81"/>
            <rFont val="Tahoma"/>
            <family val="2"/>
          </rPr>
          <t>Ingresar Detalle en la Hoja de Amortizaciones</t>
        </r>
        <r>
          <rPr>
            <sz val="8"/>
            <color indexed="81"/>
            <rFont val="Tahoma"/>
            <family val="2"/>
          </rPr>
          <t xml:space="preserve">
</t>
        </r>
      </text>
    </comment>
  </commentList>
</comments>
</file>

<file path=xl/comments4.xml><?xml version="1.0" encoding="utf-8"?>
<comments xmlns="http://schemas.openxmlformats.org/spreadsheetml/2006/main">
  <authors>
    <author>Informatica</author>
  </authors>
  <commentList>
    <comment ref="G102" authorId="0">
      <text>
        <r>
          <rPr>
            <b/>
            <sz val="8"/>
            <color indexed="81"/>
            <rFont val="Tahoma"/>
            <family val="2"/>
          </rPr>
          <t>Ingresar Detalle en la Hoja de Amortizaciones</t>
        </r>
        <r>
          <rPr>
            <sz val="8"/>
            <color indexed="81"/>
            <rFont val="Tahoma"/>
            <family val="2"/>
          </rPr>
          <t xml:space="preserve">
</t>
        </r>
      </text>
    </comment>
  </commentList>
</comments>
</file>

<file path=xl/comments5.xml><?xml version="1.0" encoding="utf-8"?>
<comments xmlns="http://schemas.openxmlformats.org/spreadsheetml/2006/main">
  <authors>
    <author>Informatica</author>
  </authors>
  <commentList>
    <comment ref="G102" authorId="0">
      <text>
        <r>
          <rPr>
            <b/>
            <sz val="8"/>
            <color indexed="81"/>
            <rFont val="Tahoma"/>
            <family val="2"/>
          </rPr>
          <t>Ingresar Detalle en la Hoja de Amortizaciones</t>
        </r>
        <r>
          <rPr>
            <sz val="8"/>
            <color indexed="81"/>
            <rFont val="Tahoma"/>
            <family val="2"/>
          </rPr>
          <t xml:space="preserve">
</t>
        </r>
      </text>
    </comment>
  </commentList>
</comments>
</file>

<file path=xl/sharedStrings.xml><?xml version="1.0" encoding="utf-8"?>
<sst xmlns="http://schemas.openxmlformats.org/spreadsheetml/2006/main" count="20025" uniqueCount="524">
  <si>
    <t>INSTITUCION:</t>
  </si>
  <si>
    <t>DEPARTAMENTO:</t>
  </si>
  <si>
    <t xml:space="preserve"> ESTADO DE RESULTADOS Y OTROS RESULTADOS INTEGRALES período:</t>
  </si>
  <si>
    <t>01-10-20 al 30-09-21</t>
  </si>
  <si>
    <t xml:space="preserve">INGRESOS   </t>
  </si>
  <si>
    <t>En Pesos Uruguayos</t>
  </si>
  <si>
    <t>EGRESOS</t>
  </si>
  <si>
    <t>INGRESOS OPERATIVOS</t>
  </si>
  <si>
    <t>COSTO DE LOS SERVICIOS PRESTADOS</t>
  </si>
  <si>
    <t>510.101</t>
  </si>
  <si>
    <t>Cuotas Afiliados Individuales</t>
  </si>
  <si>
    <t>610.101</t>
  </si>
  <si>
    <t>Dirección y Gerencias Técnicas</t>
  </si>
  <si>
    <t>510.102</t>
  </si>
  <si>
    <t>Cuotas Afiliados Colectivos</t>
  </si>
  <si>
    <t>610.102</t>
  </si>
  <si>
    <t>Rem. Fijas Anestésico Quirúrgicos</t>
  </si>
  <si>
    <t>510.108</t>
  </si>
  <si>
    <t>Cápitas FO.NA.SA.</t>
  </si>
  <si>
    <t>610.103</t>
  </si>
  <si>
    <t>Rem. Variables Anestésico Quirúrgicos</t>
  </si>
  <si>
    <t>510.109</t>
  </si>
  <si>
    <t>Ingresos por Metas Asistenciales FO.NA.SA.</t>
  </si>
  <si>
    <t>610.104</t>
  </si>
  <si>
    <t>Rem. Fijas No Anestésico Quirúrgicos</t>
  </si>
  <si>
    <t>510.110</t>
  </si>
  <si>
    <t>Sustitutivo de Tasas Moderadoras</t>
  </si>
  <si>
    <t>610.105</t>
  </si>
  <si>
    <t>Rem. Variables No Anestésico Quirúrgicos</t>
  </si>
  <si>
    <t>510.111</t>
  </si>
  <si>
    <t>Crédito Fiscal Ley Nº 18.464</t>
  </si>
  <si>
    <t>610.106</t>
  </si>
  <si>
    <t>Rem. Fijas Técnicos No Médicos</t>
  </si>
  <si>
    <t>510.104</t>
  </si>
  <si>
    <t>Cuotas Afiliados Cobertura Parcial</t>
  </si>
  <si>
    <t>610.107</t>
  </si>
  <si>
    <t>Rem. Variables Técnicos No Médicos</t>
  </si>
  <si>
    <t>510.105</t>
  </si>
  <si>
    <t>Cuotas por Emergencia Móvil</t>
  </si>
  <si>
    <t>610.108</t>
  </si>
  <si>
    <t>Personal de Enfermería</t>
  </si>
  <si>
    <t>510.106</t>
  </si>
  <si>
    <t>Ing. Convenios Asistenciales con otras Empresas</t>
  </si>
  <si>
    <t>610.109</t>
  </si>
  <si>
    <t>Personal Administrativo</t>
  </si>
  <si>
    <t>510.107</t>
  </si>
  <si>
    <t>Plan de Asistencia Primera Infancia (P.A.P.I.)</t>
  </si>
  <si>
    <t>610.110</t>
  </si>
  <si>
    <t>Personal de Servicios y Oficios</t>
  </si>
  <si>
    <t>510.113</t>
  </si>
  <si>
    <t>Sobrecuota de Inversión Ley N° 18.922</t>
  </si>
  <si>
    <t>610.111</t>
  </si>
  <si>
    <t>Retiros de Personal Incentivados</t>
  </si>
  <si>
    <t>510.299</t>
  </si>
  <si>
    <t>Otros Ingresos de Prepago</t>
  </si>
  <si>
    <t>610.112</t>
  </si>
  <si>
    <t>Reexpresión Ajuste por Inflación - Retribuciones al Personal</t>
  </si>
  <si>
    <t>510.112</t>
  </si>
  <si>
    <t>Reexpresión Ajuste por Inflación - Ingr. De Prepago</t>
  </si>
  <si>
    <t>Total de Retribuciones al Personal</t>
  </si>
  <si>
    <t>Total de Ingresos de Prepago</t>
  </si>
  <si>
    <t>610.201</t>
  </si>
  <si>
    <t>Cargas Sociales Dirección y Gerencias Técnicas</t>
  </si>
  <si>
    <t xml:space="preserve">Total Ordenes </t>
  </si>
  <si>
    <t>610.202</t>
  </si>
  <si>
    <t>Cargas Sociales Personal Médico</t>
  </si>
  <si>
    <t>510.301</t>
  </si>
  <si>
    <t>Ordenes a Consultorio</t>
  </si>
  <si>
    <t>610.203</t>
  </si>
  <si>
    <t>Cargas Sociales Personal Técnico No Médico</t>
  </si>
  <si>
    <t>510.302</t>
  </si>
  <si>
    <t>Ordenes a Domicilio</t>
  </si>
  <si>
    <t>610.204</t>
  </si>
  <si>
    <t>Cargas Sociales Otro Personal Asistencial</t>
  </si>
  <si>
    <t>510.303</t>
  </si>
  <si>
    <t>Ordenes de Emergencia</t>
  </si>
  <si>
    <t>610.205</t>
  </si>
  <si>
    <t>Aporte Patronal  Fdos de Retiro (Pers. Asistencial)</t>
  </si>
  <si>
    <t>510.304</t>
  </si>
  <si>
    <t>Ordenes de Urgencia a Domicilio</t>
  </si>
  <si>
    <t>610.206</t>
  </si>
  <si>
    <t>Seguro por Accidentes Laborales (B.S.E.)</t>
  </si>
  <si>
    <t>510.305</t>
  </si>
  <si>
    <t>Ordenes Odontológicas</t>
  </si>
  <si>
    <t>610.207</t>
  </si>
  <si>
    <t>Reexpresión Ajuste por Inflación - Cargas Sociales</t>
  </si>
  <si>
    <t>510.399</t>
  </si>
  <si>
    <t>Otras Ordenes</t>
  </si>
  <si>
    <t>Total de Cargas Sociales</t>
  </si>
  <si>
    <t>510.306</t>
  </si>
  <si>
    <t>Reexpresión Ajuste por Inflación - Órdenes</t>
  </si>
  <si>
    <t>610.301</t>
  </si>
  <si>
    <t>Honorarios Médicos y Odontológicos</t>
  </si>
  <si>
    <t>Total Tiques</t>
  </si>
  <si>
    <t>610.302</t>
  </si>
  <si>
    <t>Honorarios Anestésicos Quirúrgicos</t>
  </si>
  <si>
    <t>510.401</t>
  </si>
  <si>
    <t>Tiques de Medicamentos</t>
  </si>
  <si>
    <t>610.303</t>
  </si>
  <si>
    <t>Hon. Prof. No Médicos, por Diag. y/o Tratamientos</t>
  </si>
  <si>
    <t>510.402</t>
  </si>
  <si>
    <t>Tiques de Análisis de Laboratorio</t>
  </si>
  <si>
    <t>610.304</t>
  </si>
  <si>
    <t xml:space="preserve">Reexpresión Ajuste por Inflación - Honorarios Profesionales </t>
  </si>
  <si>
    <t>510.403</t>
  </si>
  <si>
    <t>Tiques Otras Técnicas de Diagnóstico</t>
  </si>
  <si>
    <t>Total de Honorarios Profesionales</t>
  </si>
  <si>
    <t>510.499</t>
  </si>
  <si>
    <t>Otros Tiques</t>
  </si>
  <si>
    <t>Medicamentos Ambulatorios</t>
  </si>
  <si>
    <t>510.404</t>
  </si>
  <si>
    <t>Reexpresión Ajuste por Inflación - Tiques</t>
  </si>
  <si>
    <t>610.401</t>
  </si>
  <si>
    <t>Medic. Oncológicos y Hemato-oncológicos Ambulat.</t>
  </si>
  <si>
    <t>Total de Ordenes y Tiques</t>
  </si>
  <si>
    <t>610.402</t>
  </si>
  <si>
    <t>Medicamentos Contra el SIDA Ambulat.</t>
  </si>
  <si>
    <t>510.501,510.601</t>
  </si>
  <si>
    <t>Venta Serv. Internación Simple</t>
  </si>
  <si>
    <t>610.403</t>
  </si>
  <si>
    <t>510.502,510.602</t>
  </si>
  <si>
    <t>Venta Serv. Internación CTI Adultos</t>
  </si>
  <si>
    <t>610.404</t>
  </si>
  <si>
    <t>Psicofármacos Ambulat.</t>
  </si>
  <si>
    <t>510.503,510.603</t>
  </si>
  <si>
    <t>Venta Serv. Internación CTI Pediátrico</t>
  </si>
  <si>
    <t>610.405</t>
  </si>
  <si>
    <t>Medicamentos Cardiovasculares Ambulat.</t>
  </si>
  <si>
    <t>510.504,510.604</t>
  </si>
  <si>
    <t>Venta Serv. Internación CTI Neonatal</t>
  </si>
  <si>
    <t>610.449</t>
  </si>
  <si>
    <t>Otros Medicamentos Ambulat.</t>
  </si>
  <si>
    <t>510.505,510.605</t>
  </si>
  <si>
    <t>Venta Serv. de Block Quirúrgico</t>
  </si>
  <si>
    <t>Medicamentos Internación</t>
  </si>
  <si>
    <t>510.506,510.606</t>
  </si>
  <si>
    <t>Venta Medicina Altamente Especializada</t>
  </si>
  <si>
    <t>610.451</t>
  </si>
  <si>
    <t>Medicam. Oncológicos  Hemato-oncológicos Inter.</t>
  </si>
  <si>
    <t>510.507,510.508,510.509,510.510,510.607,510.608,510.609,510.610</t>
  </si>
  <si>
    <t>Venta Serv. Ambulatorios</t>
  </si>
  <si>
    <t>610.452</t>
  </si>
  <si>
    <t>Medicamentos Contra el SIDA Inter.</t>
  </si>
  <si>
    <t>510.511,510.611</t>
  </si>
  <si>
    <t>Venta Serv. Odontológicos</t>
  </si>
  <si>
    <t>610.453</t>
  </si>
  <si>
    <t>Antibióticos Inter.</t>
  </si>
  <si>
    <t>510.512,510.612</t>
  </si>
  <si>
    <t>Examen Médico Previo</t>
  </si>
  <si>
    <t>610.454</t>
  </si>
  <si>
    <t>Psicofármacos Inter.</t>
  </si>
  <si>
    <t>510.599,510.699</t>
  </si>
  <si>
    <t>Otras Prestaciones Asistenciales</t>
  </si>
  <si>
    <t>610.455</t>
  </si>
  <si>
    <t>Medicamentos Cardiovasculares Inter.</t>
  </si>
  <si>
    <t>510.513,510.613</t>
  </si>
  <si>
    <t>Reexpresión Ajuste por Inflación - Venta Ss.</t>
  </si>
  <si>
    <t>610.499</t>
  </si>
  <si>
    <t>Otros Medicamentos Inter.</t>
  </si>
  <si>
    <t>Total de Venta de Servicios</t>
  </si>
  <si>
    <t>610.456</t>
  </si>
  <si>
    <t>Reexpresión Ajuste por Inflación - Consumo de Medicamentos</t>
  </si>
  <si>
    <t>Otros Ingresos Operativos</t>
  </si>
  <si>
    <t>Total de Consumos de Medicamentos</t>
  </si>
  <si>
    <t>510.701</t>
  </si>
  <si>
    <t>Reintegro de Gasto Fondo Nacional de Recursos</t>
  </si>
  <si>
    <t>610.501</t>
  </si>
  <si>
    <t>Reactivos y Otros Insumos de Serv. de Apoyo</t>
  </si>
  <si>
    <t>510.799</t>
  </si>
  <si>
    <t>610.502</t>
  </si>
  <si>
    <t>Materiales de Uso Médico</t>
  </si>
  <si>
    <t>510.702</t>
  </si>
  <si>
    <t>Reexpresión Ajuste por Inflación - Otros Ingr. Operativos</t>
  </si>
  <si>
    <t>610.503</t>
  </si>
  <si>
    <t>Oxígeno Líquido</t>
  </si>
  <si>
    <t>Total de Otros Ingresos de Operativos</t>
  </si>
  <si>
    <t>610.504</t>
  </si>
  <si>
    <t>Oxígeno Balones</t>
  </si>
  <si>
    <t>Total de Ingresos Operativos</t>
  </si>
  <si>
    <t>610.505</t>
  </si>
  <si>
    <t>Alimentación</t>
  </si>
  <si>
    <t>610.506</t>
  </si>
  <si>
    <t>Vestimenta</t>
  </si>
  <si>
    <t xml:space="preserve">Descuentos y Bonificaciones </t>
  </si>
  <si>
    <t>610.599</t>
  </si>
  <si>
    <t>Otros Bienes de Consumo</t>
  </si>
  <si>
    <t>510.901</t>
  </si>
  <si>
    <t>Descuentos y Bonificaciones sobre serv. prestados</t>
  </si>
  <si>
    <t>610.507</t>
  </si>
  <si>
    <t>Reexpresión Ajuste por Inflación - Consumo Mat. y Suministros</t>
  </si>
  <si>
    <t>510.902</t>
  </si>
  <si>
    <t>Devolución de Emisión por Afiliados Individuales</t>
  </si>
  <si>
    <t>Total de Consumo de Materiales y Suministros</t>
  </si>
  <si>
    <t>510.903</t>
  </si>
  <si>
    <t>Devolución de Emisión por Afiliados Colectivos</t>
  </si>
  <si>
    <t>610.601</t>
  </si>
  <si>
    <t>Convenios Asistenciales con Otras Empresas</t>
  </si>
  <si>
    <t>510.904</t>
  </si>
  <si>
    <t>Reexpresión Ajuste por Inflación - Dtos. y Bonificaciones</t>
  </si>
  <si>
    <t>610.602</t>
  </si>
  <si>
    <t>Internación en Sanatorios y Hospitales</t>
  </si>
  <si>
    <t>Total Descuentos, Bonificaciones</t>
  </si>
  <si>
    <t>610.603</t>
  </si>
  <si>
    <t>Internación en CTI Adultos</t>
  </si>
  <si>
    <t>Total de Ingresos Operativos Netos</t>
  </si>
  <si>
    <t>610.604</t>
  </si>
  <si>
    <t>Internación en CTI Pediátrico</t>
  </si>
  <si>
    <t>610.605</t>
  </si>
  <si>
    <t>Internación en CTI Neonatal</t>
  </si>
  <si>
    <t>610.606</t>
  </si>
  <si>
    <t xml:space="preserve">Laboratorios de Análisis Clínicos </t>
  </si>
  <si>
    <t>610.901</t>
  </si>
  <si>
    <t>Amortizaciones de Inmuebles-Mejoras</t>
  </si>
  <si>
    <t>610.607</t>
  </si>
  <si>
    <t>Laboratorios de Anatomía Patológica</t>
  </si>
  <si>
    <t>610.902</t>
  </si>
  <si>
    <t>Amortizaciones de Panteones</t>
  </si>
  <si>
    <t>610.608</t>
  </si>
  <si>
    <t>Radiología</t>
  </si>
  <si>
    <t>610.903</t>
  </si>
  <si>
    <t>Amortiz. de Equipos e Instalaciones  Médico-Quirúrgicos</t>
  </si>
  <si>
    <t>610.609</t>
  </si>
  <si>
    <t>Resonancia Magnética</t>
  </si>
  <si>
    <t>610.904</t>
  </si>
  <si>
    <t>Amortizaciones de Equipamiento Centro de IMAE</t>
  </si>
  <si>
    <t>610.610</t>
  </si>
  <si>
    <t>Tomografía Computada</t>
  </si>
  <si>
    <t>610.905</t>
  </si>
  <si>
    <t>Amortizaciones de Maquinarias y Herramientas</t>
  </si>
  <si>
    <t>610.611</t>
  </si>
  <si>
    <t>Angiografía Digital</t>
  </si>
  <si>
    <t>610.906</t>
  </si>
  <si>
    <t>Amortiz. de  Instrumental Médico-Quirúrgico</t>
  </si>
  <si>
    <t>610.612</t>
  </si>
  <si>
    <t>Estudios Oftalmológicos</t>
  </si>
  <si>
    <t>610.907</t>
  </si>
  <si>
    <t>Amortizaciones de Equipamiento Informático</t>
  </si>
  <si>
    <t>610.613</t>
  </si>
  <si>
    <t>Estudios Cardiológicos</t>
  </si>
  <si>
    <t>610.908</t>
  </si>
  <si>
    <t>Amortizaciones de Vehículos</t>
  </si>
  <si>
    <t>610.614</t>
  </si>
  <si>
    <t>Tratamientos Odontológicos</t>
  </si>
  <si>
    <t>610.909</t>
  </si>
  <si>
    <t>Amortizaciones de Muebles y Utiles</t>
  </si>
  <si>
    <t>610.615</t>
  </si>
  <si>
    <t>Servicio de Hemoterapia</t>
  </si>
  <si>
    <t>610.910</t>
  </si>
  <si>
    <t>Amortizaciones de Otros Bienes Durables</t>
  </si>
  <si>
    <t>610.616</t>
  </si>
  <si>
    <t>Servicio de Fisioterapia</t>
  </si>
  <si>
    <t>610.911</t>
  </si>
  <si>
    <t>Amortiz. de Programas de Computacón - Software</t>
  </si>
  <si>
    <t>610.617</t>
  </si>
  <si>
    <t>Servicio de Oxigenoterapia</t>
  </si>
  <si>
    <t>610.912</t>
  </si>
  <si>
    <t>Amortizaciones de Uso de Parcelas Fúnebres</t>
  </si>
  <si>
    <t>610.618</t>
  </si>
  <si>
    <t>Radioterapia</t>
  </si>
  <si>
    <t>610.913</t>
  </si>
  <si>
    <t>Amortiz.  Gtos. de Reorganización - Prog. Fortalec.</t>
  </si>
  <si>
    <t>610.619</t>
  </si>
  <si>
    <t>Locomoción Contratada Asistencial</t>
  </si>
  <si>
    <t>610.900</t>
  </si>
  <si>
    <t>Total de Gastos de Amortizaciones - Cto Serv Prest</t>
  </si>
  <si>
    <t>610.699</t>
  </si>
  <si>
    <t>Otros Servicios Contratados</t>
  </si>
  <si>
    <t>610.620</t>
  </si>
  <si>
    <t>Reexpresión Ajuste por Inflación - Ss de Salud Contratados</t>
  </si>
  <si>
    <t>GASTOS DE ADMINISTRACION Y VENTAS</t>
  </si>
  <si>
    <t>Total de Servicios de Salud Contratados</t>
  </si>
  <si>
    <t>620.501</t>
  </si>
  <si>
    <t>610.701</t>
  </si>
  <si>
    <t>Honorarios Profesionales No Médicos</t>
  </si>
  <si>
    <t>620.502</t>
  </si>
  <si>
    <t>610.702</t>
  </si>
  <si>
    <t>Higiene y Limpieza</t>
  </si>
  <si>
    <t>620.503</t>
  </si>
  <si>
    <t>610.703</t>
  </si>
  <si>
    <t>Combustibles</t>
  </si>
  <si>
    <t>620.504</t>
  </si>
  <si>
    <t>610.704</t>
  </si>
  <si>
    <t>Agua</t>
  </si>
  <si>
    <t>620.505</t>
  </si>
  <si>
    <t>Amortiz. de Gtos. de Constitución</t>
  </si>
  <si>
    <t>610.705</t>
  </si>
  <si>
    <t>Energía Eléctrica</t>
  </si>
  <si>
    <t>620.506</t>
  </si>
  <si>
    <t>Amortiz. de Gtos.  de  Desarrollo</t>
  </si>
  <si>
    <t>610.706</t>
  </si>
  <si>
    <t>Servicios Telefónicos</t>
  </si>
  <si>
    <t>620.507</t>
  </si>
  <si>
    <t>Amortizaciones de Valor Llave Pagada</t>
  </si>
  <si>
    <t>610.707</t>
  </si>
  <si>
    <t>Seguros</t>
  </si>
  <si>
    <t>620.508</t>
  </si>
  <si>
    <t>Amortizaciones de Patentes, Marcas y Licencias</t>
  </si>
  <si>
    <t>610.708</t>
  </si>
  <si>
    <t>Locomoción Contratada No Asistencial</t>
  </si>
  <si>
    <t>620.509</t>
  </si>
  <si>
    <t>Amortiz. de Programas de Computación - Software</t>
  </si>
  <si>
    <t>610.709</t>
  </si>
  <si>
    <t>Fletes</t>
  </si>
  <si>
    <t>620.510</t>
  </si>
  <si>
    <t>610.710</t>
  </si>
  <si>
    <t>Servicios Contratados No Asistenciales</t>
  </si>
  <si>
    <t>620.511</t>
  </si>
  <si>
    <t>610.750</t>
  </si>
  <si>
    <t>Arrendamientos de Inmuebles</t>
  </si>
  <si>
    <t>620.500</t>
  </si>
  <si>
    <t>Total  de Amortizaciones - Adm y Vtas</t>
  </si>
  <si>
    <t>610.751</t>
  </si>
  <si>
    <t>Arrendamientos de Bienes Muebles</t>
  </si>
  <si>
    <t>TOTAL DE AMORTIZACIONES</t>
  </si>
  <si>
    <t>610.752</t>
  </si>
  <si>
    <t>Arrendamientos de Termos de Oxígeno</t>
  </si>
  <si>
    <t>610.799</t>
  </si>
  <si>
    <t>Otros Gastos de Funcionamiento</t>
  </si>
  <si>
    <t>610.753</t>
  </si>
  <si>
    <t>Reexpresión Ajuste por Inflación - Gastos de Funcionamiento</t>
  </si>
  <si>
    <t>Total de Gastos de Funcionamiento</t>
  </si>
  <si>
    <t>610.801</t>
  </si>
  <si>
    <t>Mantenimiento de Inmuebles</t>
  </si>
  <si>
    <t>610.802</t>
  </si>
  <si>
    <t>Mantenimiento de Equipos Médicos</t>
  </si>
  <si>
    <t>610.803</t>
  </si>
  <si>
    <t>Reparaciones y Mantenimiento de Vehículos</t>
  </si>
  <si>
    <t>610.899</t>
  </si>
  <si>
    <t>Mantenimiento de Otros Bienes Durables</t>
  </si>
  <si>
    <t>610.804</t>
  </si>
  <si>
    <t>Reexpresión Ajuste por Inflación - Gastos de Mantenimiento</t>
  </si>
  <si>
    <t>Total de Gastos de Mantenimiento</t>
  </si>
  <si>
    <t>Total de Amortizaciones</t>
  </si>
  <si>
    <t>610.010</t>
  </si>
  <si>
    <t xml:space="preserve">Litigios No Laborales </t>
  </si>
  <si>
    <t>610.011</t>
  </si>
  <si>
    <t xml:space="preserve">Reexpresión Ajuste por Inflación - Otros Costos Ss. Prestados </t>
  </si>
  <si>
    <t>Total Otros Costos de los Servicios Prestados</t>
  </si>
  <si>
    <t xml:space="preserve">Total Costo de los Servicios Prestados </t>
  </si>
  <si>
    <t>RESULTADO BRUTO</t>
  </si>
  <si>
    <t>RESULTADOS DIVERSOS</t>
  </si>
  <si>
    <t>620.101</t>
  </si>
  <si>
    <t>Gerencias Areas No Asistenciales</t>
  </si>
  <si>
    <t>520.001</t>
  </si>
  <si>
    <t>620.102</t>
  </si>
  <si>
    <t>Personal Técnico y Administrativo</t>
  </si>
  <si>
    <t>520.002</t>
  </si>
  <si>
    <t>Arrendamientos de Equipos Médicos</t>
  </si>
  <si>
    <t>620.103</t>
  </si>
  <si>
    <t>520.003</t>
  </si>
  <si>
    <t>Ingreso por Servicio Fúnebre y/o Panteón</t>
  </si>
  <si>
    <t>620.104</t>
  </si>
  <si>
    <t>Cargas Soc. Gerencias Areas No Asistenciales</t>
  </si>
  <si>
    <t>520.004</t>
  </si>
  <si>
    <t>Ingreso por Comisiones de Cobranzas</t>
  </si>
  <si>
    <t>620.105</t>
  </si>
  <si>
    <t>Cargas Sociales Administrativos</t>
  </si>
  <si>
    <t>520.006</t>
  </si>
  <si>
    <t>Ingresos por Inver. en  Empresas Vinculadas</t>
  </si>
  <si>
    <t>620.106</t>
  </si>
  <si>
    <t>Cargas Sociales Personal de Servicios y Oficios</t>
  </si>
  <si>
    <t>520.008</t>
  </si>
  <si>
    <t xml:space="preserve">Ganancia por Venta de Bienes de Uso </t>
  </si>
  <si>
    <t>620.107</t>
  </si>
  <si>
    <t>Ap. Pat. Fdos Retiro (Pers. del Area No Asistencial)</t>
  </si>
  <si>
    <t>520.009</t>
  </si>
  <si>
    <t xml:space="preserve">Donaciones Recibidas </t>
  </si>
  <si>
    <t>620.108</t>
  </si>
  <si>
    <t>Seg. Accidentes Laborales (Bco. de Seg. del Estado)</t>
  </si>
  <si>
    <t>520.010</t>
  </si>
  <si>
    <t>Indemnización por Siniestros</t>
  </si>
  <si>
    <t>620.109</t>
  </si>
  <si>
    <t>Retiros de Personal No Asistencial Incentivados</t>
  </si>
  <si>
    <t>520.011</t>
  </si>
  <si>
    <t>Ingresos por Quita Obtenida - Junta de Acreedores</t>
  </si>
  <si>
    <t>620.110</t>
  </si>
  <si>
    <t>Reexpresión Ajuste por Inflación - Remuneraciones y Cs Ss.</t>
  </si>
  <si>
    <t>520.099</t>
  </si>
  <si>
    <t xml:space="preserve">Otros Ingresos </t>
  </si>
  <si>
    <t>Total de Remuneraciones y Cargas Sociales</t>
  </si>
  <si>
    <t>520.012</t>
  </si>
  <si>
    <t>Reexpresión Ajuste por Inflación - Ingresos Diversos</t>
  </si>
  <si>
    <t>620.201</t>
  </si>
  <si>
    <t>Total de Ingresos Diversos</t>
  </si>
  <si>
    <t>620.202</t>
  </si>
  <si>
    <t>630.002</t>
  </si>
  <si>
    <t>Indemnizaciones por Despido</t>
  </si>
  <si>
    <t>620.203</t>
  </si>
  <si>
    <t>Reexpresión Ajuste por Inflación - Arrendamientos</t>
  </si>
  <si>
    <t>630.003</t>
  </si>
  <si>
    <t>Capacitación del Personal</t>
  </si>
  <si>
    <t>Total de Arrendamientos</t>
  </si>
  <si>
    <t>630.004</t>
  </si>
  <si>
    <t>Gastos del Servicio Fúnebre</t>
  </si>
  <si>
    <t>620.301</t>
  </si>
  <si>
    <t>630.005</t>
  </si>
  <si>
    <t>Gastos de Panteón</t>
  </si>
  <si>
    <t>620.302</t>
  </si>
  <si>
    <t>Papelería y Artículos de Oficina</t>
  </si>
  <si>
    <t>630.006</t>
  </si>
  <si>
    <t xml:space="preserve">Egresos por Inver. en  Empresas Vinculadas </t>
  </si>
  <si>
    <t>620.303</t>
  </si>
  <si>
    <t>630.007</t>
  </si>
  <si>
    <t>Egresos por Comisiones</t>
  </si>
  <si>
    <t>620.304</t>
  </si>
  <si>
    <t>630.009</t>
  </si>
  <si>
    <t>Honorarios y Gastos de Administración del Fiduciario</t>
  </si>
  <si>
    <t>620.305</t>
  </si>
  <si>
    <t>630.010</t>
  </si>
  <si>
    <t>Pérdida por Venta de Bienes de Uso</t>
  </si>
  <si>
    <t>620.306</t>
  </si>
  <si>
    <t>630.011</t>
  </si>
  <si>
    <t>Deudores Incobrables</t>
  </si>
  <si>
    <t>620.307</t>
  </si>
  <si>
    <t>630.012</t>
  </si>
  <si>
    <t>Pérdida por Litigios Laborales</t>
  </si>
  <si>
    <t>620.308</t>
  </si>
  <si>
    <t>Publicidad e Impresos</t>
  </si>
  <si>
    <t>630.013</t>
  </si>
  <si>
    <t>Pérdida por Otros Litigios</t>
  </si>
  <si>
    <t>620.309</t>
  </si>
  <si>
    <t>Servicios Contratados</t>
  </si>
  <si>
    <t>630.015</t>
  </si>
  <si>
    <t>Pérdida por Desvalorizaciones</t>
  </si>
  <si>
    <t>620.399</t>
  </si>
  <si>
    <t>630.016</t>
  </si>
  <si>
    <t>Donaciones Entregadas</t>
  </si>
  <si>
    <t>620.310</t>
  </si>
  <si>
    <t>630.099</t>
  </si>
  <si>
    <t>Otros Egresos Diversos</t>
  </si>
  <si>
    <t>630.014</t>
  </si>
  <si>
    <t>Reexpresión Ajuste por Inflación - Egresos Diversos</t>
  </si>
  <si>
    <t>620.401</t>
  </si>
  <si>
    <t>Total de Egresos Diversos</t>
  </si>
  <si>
    <t>620.499</t>
  </si>
  <si>
    <t>Total de Resultados Diversos</t>
  </si>
  <si>
    <t>620.402</t>
  </si>
  <si>
    <t>RESULTADOS FINANCIEROS</t>
  </si>
  <si>
    <t>620.601</t>
  </si>
  <si>
    <t>Impuestos sobre Inmuebles</t>
  </si>
  <si>
    <t>530.001</t>
  </si>
  <si>
    <t>Intereses Ganados</t>
  </si>
  <si>
    <t>620.602</t>
  </si>
  <si>
    <t>Impuestos y Tasas sobre Bienes Muebles</t>
  </si>
  <si>
    <t>530.002</t>
  </si>
  <si>
    <t>Diferencias de Cambio Ganadas</t>
  </si>
  <si>
    <t>620.603</t>
  </si>
  <si>
    <t>I.V.A. Porcentual  No Deducible</t>
  </si>
  <si>
    <t>530.003</t>
  </si>
  <si>
    <t>Descuentos Obtenidos</t>
  </si>
  <si>
    <t>620.604</t>
  </si>
  <si>
    <t>Reexpresión Ajuste por Inflación - Imp., Tasas y Contribuciones</t>
  </si>
  <si>
    <t>530.004</t>
  </si>
  <si>
    <t>Ganancia por tenencia de Títulos Valores</t>
  </si>
  <si>
    <t>530.005</t>
  </si>
  <si>
    <t>Intereses Ganados - Fideicomiso</t>
  </si>
  <si>
    <t>620.901</t>
  </si>
  <si>
    <t>Deudores incobrables</t>
  </si>
  <si>
    <t>530.006</t>
  </si>
  <si>
    <t>Ganancia por Ajuste Deuda Concursal</t>
  </si>
  <si>
    <t>620.999</t>
  </si>
  <si>
    <t>Otros Gastos de Administración y Ventas</t>
  </si>
  <si>
    <t>530.007</t>
  </si>
  <si>
    <t>Diferencias de Cambio Ganadas - Capital Social Variable</t>
  </si>
  <si>
    <t>620.902</t>
  </si>
  <si>
    <t>Reexpresión Ajuste por Inflación - Otros GAV</t>
  </si>
  <si>
    <t>530.098</t>
  </si>
  <si>
    <t xml:space="preserve">Resultados Desvalorización Monetaria  </t>
  </si>
  <si>
    <t>Total  Otros Gastos de Administración y Ventas</t>
  </si>
  <si>
    <t>530.099</t>
  </si>
  <si>
    <t>Otros Ingresos Financieros</t>
  </si>
  <si>
    <t>Total de Gastos de Administración y Ventas</t>
  </si>
  <si>
    <t>530.008</t>
  </si>
  <si>
    <t>Reexpresión Ajuste por Inflación - Ingresos Financieros</t>
  </si>
  <si>
    <t>Total de Ingresos Financieros</t>
  </si>
  <si>
    <t>RESULTADO OPERATIVO</t>
  </si>
  <si>
    <t>640.001</t>
  </si>
  <si>
    <t>Intereses  Bancarios Perdidos</t>
  </si>
  <si>
    <t>640.002</t>
  </si>
  <si>
    <t>Diferencias de Cambio Perdidas</t>
  </si>
  <si>
    <t>640.003</t>
  </si>
  <si>
    <t>Descuentos Concedidos</t>
  </si>
  <si>
    <t>640.004</t>
  </si>
  <si>
    <t>Pérdida por tenencia de Títulos Valores</t>
  </si>
  <si>
    <t>640.005</t>
  </si>
  <si>
    <t>Recargos Financieros</t>
  </si>
  <si>
    <t>640.006</t>
  </si>
  <si>
    <t>Multas y Recargos Fiscales</t>
  </si>
  <si>
    <t>640.007</t>
  </si>
  <si>
    <t>Intereses Perdidos</t>
  </si>
  <si>
    <t>640.010</t>
  </si>
  <si>
    <t>Pérdida por Ajuste Deudas Laborales Fondo Fideicomiso</t>
  </si>
  <si>
    <t>640.011</t>
  </si>
  <si>
    <t>Pérdida por Ajuste Deuda Concursal</t>
  </si>
  <si>
    <t>640.012</t>
  </si>
  <si>
    <t>Diferencias de Cambio Perdidas - Capital Social Variable</t>
  </si>
  <si>
    <t>640.098</t>
  </si>
  <si>
    <t>Resultados Desvalorización Monetaria</t>
  </si>
  <si>
    <t>640.099</t>
  </si>
  <si>
    <t>Otros Egresos Financieros</t>
  </si>
  <si>
    <t>640.013</t>
  </si>
  <si>
    <t>Reexpresión Ajuste por Inflación - Egresos Financieros</t>
  </si>
  <si>
    <t>Total de Egresos Financieros</t>
  </si>
  <si>
    <t>Total de Resultados Financieros</t>
  </si>
  <si>
    <t>RESULTADOS DEL EJERCICIO</t>
  </si>
  <si>
    <t>OTROS RESULTADOS INTEGRALES</t>
  </si>
  <si>
    <t>Cambios en el Valor Razonable de Instrumentos Financieros</t>
  </si>
  <si>
    <t>Resultado por Conversión</t>
  </si>
  <si>
    <t>Revaluación Propiedad, Planta y Equipo</t>
  </si>
  <si>
    <t xml:space="preserve">Total Otros Resultados Integrales </t>
  </si>
  <si>
    <t>MUCAM</t>
  </si>
  <si>
    <t>Montevideo</t>
  </si>
  <si>
    <t xml:space="preserve">Total Montevideo </t>
  </si>
  <si>
    <t>Total Interior</t>
  </si>
  <si>
    <t>Interior</t>
  </si>
  <si>
    <t>Total País</t>
  </si>
  <si>
    <t>Total Otros Gastos de Administración y Ventas</t>
  </si>
  <si>
    <t>Antibióticos Ambulat.</t>
  </si>
  <si>
    <t>Total Impuestos, Tasas y Contribuciones</t>
  </si>
  <si>
    <t>RESULTADO INTEGRAL TOTAL DEL EJERCICIO</t>
  </si>
  <si>
    <t>Antibióticos Ambulat..</t>
  </si>
  <si>
    <t>Total  de Amortizaciones</t>
  </si>
  <si>
    <t>Total  Impuestos, Tasas y Contribuciones</t>
  </si>
  <si>
    <t>RESULTADO INTEGRAL TOTAL  DEL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</si>
</sst>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3" formatCode="_(* #,##0.00_);_(* \(#,##0.00\);_(* &quot;-&quot;??_);_(@_)"/>
    <numFmt numFmtId="164" formatCode="_-* #,##0.00_-;\-* #,##0.00_-;_-* &quot;-&quot;??_-;_-@_-"/>
    <numFmt numFmtId="165" formatCode="_-&quot;$&quot;* #,##0_-;\-&quot;$&quot;* #,##0_-;_-&quot;$&quot;* &quot;-&quot;_-;_-@_-"/>
    <numFmt numFmtId="166" formatCode="_-* #,##0.00\ _€_-;\-* #,##0.00\ _€_-;_-* &quot;-&quot;??\ _€_-;_-@_-"/>
    <numFmt numFmtId="167" formatCode="_-* #,##0.00\ [$€]_-;\-* #,##0.00\ [$€]_-;_-* &quot;-&quot;??\ [$€]_-;_-@_-"/>
    <numFmt numFmtId="168" formatCode="0&quot; &quot;%"/>
    <numFmt numFmtId="169" formatCode="#,"/>
    <numFmt numFmtId="170" formatCode="_-\$* #,##0_-;&quot;-$&quot;* #,##0_-;_-\$* \-_-;_-@_-"/>
    <numFmt numFmtId="171" formatCode="_([$€-2]* #,##0.00_);_([$€-2]* \(#,##0.00\);_([$€-2]* &quot;-&quot;??_)"/>
    <numFmt numFmtId="172" formatCode="0.000%"/>
    <numFmt numFmtId="173" formatCode="_-* #,##0.00\ _p_t_a_-;\-* #,##0.00\ _p_t_a_-;_-* &quot;-&quot;??\ _p_t_a_-;_-@_-"/>
    <numFmt numFmtId="174" formatCode="_(* #,##0_);_(* \(#,##0\);_(* &quot;-&quot;??_);_(@_)"/>
  </numFmts>
  <fonts count="65">
    <font>
      <sz val="10"/>
      <name val="Arial"/>
    </font>
    <font>
      <sz val="11"/>
      <color theme="1"/>
      <name val="Calibri"/>
      <family val="2"/>
      <scheme val="minor"/>
    </font>
    <font>
      <sz val="10"/>
      <name val="Arial"/>
      <family val="2"/>
    </font>
    <font>
      <sz val="12"/>
      <color rgb="FFFF0000"/>
      <name val="Calibri"/>
      <family val="2"/>
      <scheme val="minor"/>
    </font>
    <font>
      <b/>
      <sz val="12"/>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8"/>
      <color indexed="81"/>
      <name val="Tahoma"/>
      <family val="2"/>
    </font>
    <font>
      <sz val="8"/>
      <color indexed="81"/>
      <name val="Tahoma"/>
      <family val="2"/>
    </font>
    <font>
      <sz val="11"/>
      <color indexed="9"/>
      <name val="Czcionka tekstu podstawowego"/>
      <family val="2"/>
      <charset val="238"/>
    </font>
    <font>
      <sz val="10"/>
      <name val="Arial"/>
      <family val="2"/>
    </font>
    <font>
      <sz val="10"/>
      <color theme="1"/>
      <name val="Arial"/>
      <family val="2"/>
    </font>
    <font>
      <sz val="8"/>
      <name val="ＭＳ Ｐゴシック"/>
      <family val="3"/>
      <charset val="128"/>
    </font>
    <font>
      <sz val="12"/>
      <name val="Times New Roman"/>
      <family val="1"/>
    </font>
    <font>
      <sz val="12"/>
      <color indexed="10"/>
      <name val="Calibri"/>
      <family val="2"/>
    </font>
    <font>
      <b/>
      <sz val="12"/>
      <name val="Calibri"/>
      <family val="2"/>
    </font>
    <font>
      <sz val="12"/>
      <name val="Calibri"/>
      <family val="2"/>
    </font>
    <font>
      <b/>
      <sz val="12"/>
      <color indexed="9"/>
      <name val="Calibri"/>
      <family val="2"/>
    </font>
    <font>
      <sz val="12"/>
      <color indexed="9"/>
      <name val="Calibri"/>
      <family val="2"/>
    </font>
    <font>
      <sz val="11"/>
      <color indexed="9"/>
      <name val="Calibri"/>
      <family val="2"/>
    </font>
    <font>
      <b/>
      <sz val="11"/>
      <color indexed="9"/>
      <name val="Calibri"/>
      <family val="2"/>
    </font>
    <font>
      <sz val="11"/>
      <color indexed="8"/>
      <name val="Calibri"/>
      <family val="2"/>
    </font>
    <font>
      <sz val="11"/>
      <color indexed="20"/>
      <name val="Calibri"/>
      <family val="2"/>
    </font>
    <font>
      <b/>
      <sz val="11"/>
      <color indexed="52"/>
      <name val="Calibri"/>
      <family val="2"/>
    </font>
    <font>
      <sz val="10"/>
      <color theme="1"/>
      <name val="Tahoma"/>
      <family val="2"/>
    </font>
    <font>
      <sz val="12"/>
      <name val="Courier"/>
      <family val="3"/>
    </font>
    <font>
      <i/>
      <sz val="11"/>
      <color indexed="23"/>
      <name val="Calibri"/>
      <family val="2"/>
    </font>
    <font>
      <sz val="1"/>
      <color indexed="16"/>
      <name val="Courier"/>
      <family val="3"/>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1"/>
    </font>
    <font>
      <b/>
      <sz val="12"/>
      <name val="Calibri"/>
      <family val="2"/>
      <charset val="1"/>
    </font>
    <font>
      <sz val="12"/>
      <name val="Calibri"/>
      <family val="2"/>
      <charset val="1"/>
    </font>
    <font>
      <b/>
      <sz val="12"/>
      <color indexed="9"/>
      <name val="Calibri"/>
      <family val="2"/>
      <charset val="1"/>
    </font>
    <font>
      <sz val="12"/>
      <color indexed="9"/>
      <name val="Calibri"/>
      <family val="2"/>
      <charset val="1"/>
    </font>
    <font>
      <sz val="12"/>
      <color indexed="10"/>
      <name val="Calibri"/>
      <family val="2"/>
      <charset val="1"/>
    </font>
    <font>
      <sz val="12"/>
      <name val="Courier"/>
      <family val="3"/>
    </font>
    <font>
      <sz val="1"/>
      <color indexed="16"/>
      <name val="Courier"/>
      <family val="3"/>
    </font>
    <font>
      <sz val="10"/>
      <name val="Times New Roman"/>
      <family val="1"/>
    </font>
    <font>
      <b/>
      <sz val="12"/>
      <name val="Arial"/>
      <family val="2"/>
    </font>
    <font>
      <b/>
      <sz val="11"/>
      <name val="Arial"/>
      <family val="2"/>
    </font>
    <font>
      <b/>
      <sz val="10"/>
      <name val="Arial"/>
      <family val="2"/>
    </font>
    <font>
      <sz val="12"/>
      <name val="Arial"/>
      <family val="2"/>
    </font>
    <font>
      <sz val="11"/>
      <name val="Arial"/>
      <family val="2"/>
    </font>
    <font>
      <sz val="12"/>
      <color theme="0"/>
      <name val="Arial"/>
      <family val="2"/>
    </font>
    <font>
      <b/>
      <i/>
      <sz val="10"/>
      <name val="Arial"/>
      <family val="2"/>
    </font>
    <font>
      <sz val="11"/>
      <color theme="0"/>
      <name val="Arial"/>
      <family val="2"/>
    </font>
    <font>
      <b/>
      <sz val="11"/>
      <color theme="0"/>
      <name val="Arial"/>
      <family val="2"/>
    </font>
    <font>
      <sz val="10"/>
      <color theme="0"/>
      <name val="Arial"/>
      <family val="2"/>
    </font>
    <font>
      <sz val="12"/>
      <color indexed="9"/>
      <name val="Arial"/>
      <family val="2"/>
    </font>
    <font>
      <sz val="11"/>
      <color indexed="9"/>
      <name val="Arial"/>
      <family val="2"/>
    </font>
    <font>
      <b/>
      <sz val="11"/>
      <color indexed="9"/>
      <name val="Arial"/>
      <family val="2"/>
    </font>
    <font>
      <sz val="10"/>
      <color indexed="9"/>
      <name val="Arial"/>
      <family val="2"/>
    </font>
    <font>
      <b/>
      <sz val="10"/>
      <color indexed="9"/>
      <name val="Arial"/>
      <family val="2"/>
    </font>
    <font>
      <b/>
      <sz val="10"/>
      <color theme="0"/>
      <name val="Arial"/>
      <family val="2"/>
    </font>
  </fonts>
  <fills count="3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indexed="30"/>
      </patternFill>
    </fill>
    <fill>
      <patternFill patternType="solid">
        <fgColor indexed="62"/>
      </patternFill>
    </fill>
    <fill>
      <patternFill patternType="solid">
        <fgColor indexed="57"/>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theme="3" tint="0.79998168889431442"/>
        <bgColor indexed="31"/>
      </patternFill>
    </fill>
    <fill>
      <patternFill patternType="solid">
        <fgColor theme="4" tint="0.79998168889431442"/>
        <bgColor indexed="41"/>
      </patternFill>
    </fill>
    <fill>
      <patternFill patternType="solid">
        <fgColor theme="3" tint="0.79998168889431442"/>
        <bgColor indexed="64"/>
      </patternFill>
    </fill>
    <fill>
      <patternFill patternType="solid">
        <fgColor theme="4" tint="0.79998168889431442"/>
        <bgColor indexed="31"/>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bottom style="dotted">
        <color indexed="64"/>
      </bottom>
      <diagonal/>
    </border>
    <border>
      <left style="medium">
        <color indexed="64"/>
      </left>
      <right style="hair">
        <color indexed="22"/>
      </right>
      <top style="hair">
        <color indexed="22"/>
      </top>
      <bottom style="hair">
        <color indexed="22"/>
      </bottom>
      <diagonal/>
    </border>
    <border>
      <left/>
      <right style="medium">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diagonal/>
    </border>
    <border>
      <left style="dotted">
        <color indexed="64"/>
      </left>
      <right style="medium">
        <color indexed="64"/>
      </right>
      <top/>
      <bottom/>
      <diagonal/>
    </border>
    <border>
      <left/>
      <right style="medium">
        <color indexed="64"/>
      </right>
      <top/>
      <bottom style="medium">
        <color indexed="64"/>
      </bottom>
      <diagonal/>
    </border>
    <border>
      <left style="medium">
        <color indexed="64"/>
      </left>
      <right style="hair">
        <color indexed="22"/>
      </right>
      <top style="dotted">
        <color indexed="64"/>
      </top>
      <bottom style="dotted">
        <color indexed="64"/>
      </bottom>
      <diagonal/>
    </border>
    <border>
      <left style="medium">
        <color indexed="64"/>
      </left>
      <right/>
      <top style="dotted">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medium">
        <color indexed="8"/>
      </left>
      <right style="dotted">
        <color indexed="8"/>
      </right>
      <top style="medium">
        <color indexed="8"/>
      </top>
      <bottom style="dotted">
        <color indexed="8"/>
      </bottom>
      <diagonal/>
    </border>
    <border>
      <left style="dotted">
        <color indexed="8"/>
      </left>
      <right style="medium">
        <color indexed="8"/>
      </right>
      <top style="medium">
        <color indexed="8"/>
      </top>
      <bottom style="dotted">
        <color indexed="8"/>
      </bottom>
      <diagonal/>
    </border>
    <border>
      <left style="dotted">
        <color indexed="8"/>
      </left>
      <right style="medium">
        <color indexed="8"/>
      </right>
      <top/>
      <bottom style="dotted">
        <color indexed="8"/>
      </bottom>
      <diagonal/>
    </border>
    <border>
      <left style="medium">
        <color indexed="8"/>
      </left>
      <right style="hair">
        <color indexed="22"/>
      </right>
      <top style="hair">
        <color indexed="22"/>
      </top>
      <bottom style="hair">
        <color indexed="22"/>
      </bottom>
      <diagonal/>
    </border>
    <border>
      <left/>
      <right style="medium">
        <color indexed="8"/>
      </right>
      <top style="dotted">
        <color indexed="8"/>
      </top>
      <bottom/>
      <diagonal/>
    </border>
    <border>
      <left style="medium">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diagonal/>
    </border>
    <border>
      <left/>
      <right style="medium">
        <color indexed="8"/>
      </right>
      <top/>
      <bottom/>
      <diagonal/>
    </border>
    <border>
      <left style="medium">
        <color indexed="8"/>
      </left>
      <right/>
      <top/>
      <bottom/>
      <diagonal/>
    </border>
    <border>
      <left style="medium">
        <color indexed="8"/>
      </left>
      <right/>
      <top style="dotted">
        <color indexed="8"/>
      </top>
      <bottom style="dotted">
        <color indexed="8"/>
      </bottom>
      <diagonal/>
    </border>
    <border>
      <left/>
      <right style="medium">
        <color indexed="8"/>
      </right>
      <top style="dotted">
        <color indexed="8"/>
      </top>
      <bottom style="dotted">
        <color indexed="8"/>
      </bottom>
      <diagonal/>
    </border>
    <border>
      <left style="medium">
        <color indexed="8"/>
      </left>
      <right/>
      <top style="medium">
        <color indexed="8"/>
      </top>
      <bottom style="dotted">
        <color indexed="8"/>
      </bottom>
      <diagonal/>
    </border>
    <border>
      <left/>
      <right style="medium">
        <color indexed="8"/>
      </right>
      <top style="medium">
        <color indexed="8"/>
      </top>
      <bottom style="dotted">
        <color indexed="8"/>
      </bottom>
      <diagonal/>
    </border>
    <border>
      <left style="medium">
        <color indexed="8"/>
      </left>
      <right style="dotted">
        <color indexed="8"/>
      </right>
      <top/>
      <bottom/>
      <diagonal/>
    </border>
    <border>
      <left style="dotted">
        <color indexed="8"/>
      </left>
      <right style="medium">
        <color indexed="8"/>
      </right>
      <top/>
      <bottom/>
      <diagonal/>
    </border>
    <border>
      <left/>
      <right style="medium">
        <color indexed="8"/>
      </right>
      <top/>
      <bottom style="medium">
        <color indexed="8"/>
      </bottom>
      <diagonal/>
    </border>
    <border>
      <left style="medium">
        <color indexed="8"/>
      </left>
      <right style="hair">
        <color indexed="22"/>
      </right>
      <top style="dotted">
        <color indexed="8"/>
      </top>
      <bottom style="dotted">
        <color indexed="8"/>
      </bottom>
      <diagonal/>
    </border>
    <border>
      <left style="medium">
        <color indexed="8"/>
      </left>
      <right/>
      <top style="dotted">
        <color indexed="8"/>
      </top>
      <bottom/>
      <diagonal/>
    </border>
    <border>
      <left/>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686">
    <xf numFmtId="0" fontId="0" fillId="0" borderId="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2" fillId="0" borderId="0"/>
    <xf numFmtId="0" fontId="13" fillId="0" borderId="0" applyNumberFormat="0" applyFill="0" applyBorder="0">
      <alignment vertical="center"/>
    </xf>
    <xf numFmtId="0" fontId="11" fillId="0" borderId="0"/>
    <xf numFmtId="0" fontId="14"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 fillId="0" borderId="0"/>
    <xf numFmtId="0" fontId="11" fillId="0" borderId="0">
      <alignment vertical="top"/>
    </xf>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0"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7"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3" fillId="10" borderId="0" applyNumberFormat="0" applyBorder="0" applyAlignment="0" applyProtection="0"/>
    <xf numFmtId="0" fontId="24" fillId="24" borderId="25" applyNumberFormat="0" applyAlignment="0" applyProtection="0"/>
    <xf numFmtId="0" fontId="21" fillId="25" borderId="26" applyNumberFormat="0" applyAlignment="0" applyProtection="0"/>
    <xf numFmtId="166" fontId="25"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7" fontId="26" fillId="0" borderId="0" applyFont="0" applyFill="0" applyBorder="0" applyAlignment="0" applyProtection="0"/>
    <xf numFmtId="168" fontId="12" fillId="0" borderId="0"/>
    <xf numFmtId="0" fontId="27" fillId="0" borderId="0" applyNumberFormat="0" applyFill="0" applyBorder="0" applyAlignment="0" applyProtection="0"/>
    <xf numFmtId="169" fontId="28"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9" fillId="11" borderId="0" applyNumberFormat="0" applyBorder="0" applyAlignment="0" applyProtection="0"/>
    <xf numFmtId="0" fontId="30" fillId="0" borderId="27"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0" applyNumberFormat="0" applyFill="0" applyBorder="0" applyAlignment="0" applyProtection="0"/>
    <xf numFmtId="0" fontId="33" fillId="14" borderId="25" applyNumberFormat="0" applyAlignment="0" applyProtection="0"/>
    <xf numFmtId="0" fontId="34" fillId="0" borderId="30" applyNumberFormat="0" applyFill="0" applyAlignment="0" applyProtection="0"/>
    <xf numFmtId="41" fontId="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35" fillId="26" borderId="0" applyNumberFormat="0" applyBorder="0" applyAlignment="0" applyProtection="0"/>
    <xf numFmtId="0" fontId="11" fillId="0" borderId="0"/>
    <xf numFmtId="0" fontId="1" fillId="0" borderId="0"/>
    <xf numFmtId="0" fontId="12" fillId="0" borderId="0"/>
    <xf numFmtId="0" fontId="11" fillId="0" borderId="0"/>
    <xf numFmtId="0" fontId="25" fillId="0" borderId="0"/>
    <xf numFmtId="0" fontId="11" fillId="0" borderId="0"/>
    <xf numFmtId="0" fontId="11" fillId="0" borderId="0"/>
    <xf numFmtId="0" fontId="26" fillId="0" borderId="0"/>
    <xf numFmtId="0" fontId="1" fillId="0" borderId="0"/>
    <xf numFmtId="0" fontId="11" fillId="0" borderId="0"/>
    <xf numFmtId="0" fontId="1" fillId="0" borderId="0"/>
    <xf numFmtId="0" fontId="11" fillId="0" borderId="0"/>
    <xf numFmtId="0" fontId="11" fillId="0" borderId="0"/>
    <xf numFmtId="0" fontId="22" fillId="27" borderId="31" applyNumberFormat="0" applyFont="0" applyAlignment="0" applyProtection="0"/>
    <xf numFmtId="0" fontId="36" fillId="24" borderId="32" applyNumberFormat="0" applyAlignment="0" applyProtection="0"/>
    <xf numFmtId="9" fontId="2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7" fillId="0" borderId="0" applyNumberFormat="0" applyFill="0" applyBorder="0" applyAlignment="0" applyProtection="0"/>
    <xf numFmtId="0" fontId="38" fillId="0" borderId="33" applyNumberFormat="0" applyFill="0" applyAlignment="0" applyProtection="0"/>
    <xf numFmtId="0" fontId="39" fillId="0" borderId="0" applyNumberFormat="0" applyFill="0" applyBorder="0" applyAlignment="0" applyProtection="0"/>
    <xf numFmtId="0" fontId="40" fillId="0" borderId="0"/>
    <xf numFmtId="170" fontId="40" fillId="0" borderId="0" applyFill="0" applyBorder="0" applyProtection="0"/>
    <xf numFmtId="164"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71" fontId="2"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71"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1" fontId="1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1" fontId="11" fillId="0" borderId="0" applyFont="0" applyFill="0" applyBorder="0" applyAlignment="0" applyProtection="0"/>
    <xf numFmtId="167" fontId="46" fillId="0" borderId="0" applyFont="0" applyFill="0" applyBorder="0" applyAlignment="0" applyProtection="0"/>
    <xf numFmtId="171" fontId="2" fillId="0" borderId="0" applyFont="0" applyFill="0" applyBorder="0" applyAlignment="0" applyProtection="0"/>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169" fontId="28" fillId="0" borderId="0">
      <protection locked="0"/>
    </xf>
    <xf numFmtId="169" fontId="28" fillId="0" borderId="0">
      <protection locked="0"/>
    </xf>
    <xf numFmtId="169"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69" fontId="28" fillId="0" borderId="0">
      <protection locked="0"/>
    </xf>
    <xf numFmtId="169" fontId="47" fillId="0" borderId="0">
      <protection locked="0"/>
    </xf>
    <xf numFmtId="169" fontId="28"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1" fillId="0" borderId="0"/>
    <xf numFmtId="0" fontId="1" fillId="0" borderId="0"/>
    <xf numFmtId="0" fontId="1" fillId="0" borderId="0"/>
    <xf numFmtId="0" fontId="11" fillId="0" borderId="0"/>
    <xf numFmtId="0"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26" fillId="0" borderId="0"/>
    <xf numFmtId="0" fontId="11" fillId="0" borderId="0"/>
    <xf numFmtId="0" fontId="26" fillId="0" borderId="0"/>
    <xf numFmtId="0" fontId="1" fillId="0" borderId="0"/>
    <xf numFmtId="0" fontId="1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72" fontId="4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3" fontId="11" fillId="0" borderId="0" applyFont="0" applyFill="0" applyBorder="0" applyAlignment="0" applyProtection="0"/>
    <xf numFmtId="164" fontId="1" fillId="0" borderId="0" applyFont="0" applyFill="0" applyBorder="0" applyAlignment="0" applyProtection="0"/>
    <xf numFmtId="174"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 fillId="0" borderId="0"/>
    <xf numFmtId="164" fontId="2" fillId="0" borderId="0" applyFont="0" applyFill="0" applyBorder="0" applyAlignment="0" applyProtection="0"/>
  </cellStyleXfs>
  <cellXfs count="264">
    <xf numFmtId="0" fontId="0" fillId="0" borderId="0" xfId="0"/>
    <xf numFmtId="0" fontId="3" fillId="0" borderId="0" xfId="0" applyFont="1" applyAlignment="1">
      <alignment vertical="center"/>
    </xf>
    <xf numFmtId="49" fontId="4" fillId="0" borderId="0" xfId="0" applyNumberFormat="1" applyFont="1" applyFill="1" applyAlignment="1" applyProtection="1">
      <alignment vertical="center"/>
    </xf>
    <xf numFmtId="0" fontId="5" fillId="0" borderId="0" xfId="0" applyFont="1" applyFill="1" applyAlignment="1">
      <alignment vertical="center"/>
    </xf>
    <xf numFmtId="0" fontId="5" fillId="0" borderId="0" xfId="0" applyFont="1" applyAlignment="1">
      <alignment vertical="center"/>
    </xf>
    <xf numFmtId="49" fontId="5" fillId="0" borderId="0" xfId="0" applyNumberFormat="1" applyFont="1" applyFill="1" applyAlignment="1" applyProtection="1">
      <alignment vertical="center"/>
    </xf>
    <xf numFmtId="49" fontId="5" fillId="0" borderId="0" xfId="0" applyNumberFormat="1" applyFont="1" applyFill="1" applyAlignment="1">
      <alignment vertical="center"/>
    </xf>
    <xf numFmtId="38" fontId="4"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38" fontId="5" fillId="0" borderId="0" xfId="0" applyNumberFormat="1" applyFont="1" applyFill="1" applyBorder="1" applyAlignment="1" applyProtection="1">
      <alignment horizontal="center" vertical="center"/>
    </xf>
    <xf numFmtId="38" fontId="4"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0" fontId="5" fillId="0" borderId="0" xfId="0" applyFont="1" applyBorder="1" applyAlignment="1">
      <alignment vertical="center"/>
    </xf>
    <xf numFmtId="49" fontId="7" fillId="0" borderId="0" xfId="0" applyNumberFormat="1" applyFont="1" applyFill="1" applyAlignment="1" applyProtection="1">
      <alignment vertical="center"/>
    </xf>
    <xf numFmtId="0" fontId="3" fillId="0" borderId="0" xfId="0" applyFont="1" applyFill="1" applyAlignment="1">
      <alignment vertical="center"/>
    </xf>
    <xf numFmtId="49" fontId="5" fillId="0" borderId="0" xfId="0" applyNumberFormat="1" applyFont="1" applyFill="1" applyBorder="1" applyAlignment="1">
      <alignment vertical="center"/>
    </xf>
    <xf numFmtId="49" fontId="5" fillId="4" borderId="0" xfId="0" applyNumberFormat="1" applyFont="1" applyFill="1" applyAlignment="1">
      <alignment vertical="center"/>
    </xf>
    <xf numFmtId="49" fontId="7" fillId="0" borderId="0" xfId="0" applyNumberFormat="1" applyFont="1" applyFill="1" applyAlignment="1">
      <alignment vertical="center"/>
    </xf>
    <xf numFmtId="49" fontId="7" fillId="4" borderId="0" xfId="0" applyNumberFormat="1" applyFont="1" applyFill="1" applyAlignment="1">
      <alignment vertical="center"/>
    </xf>
    <xf numFmtId="38" fontId="5" fillId="4" borderId="0" xfId="0" applyNumberFormat="1" applyFont="1" applyFill="1" applyAlignment="1" applyProtection="1">
      <alignment vertical="center"/>
    </xf>
    <xf numFmtId="0" fontId="7"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49" fontId="16" fillId="0" borderId="0" xfId="0" applyNumberFormat="1" applyFont="1" applyFill="1" applyAlignment="1" applyProtection="1">
      <alignment vertical="center"/>
    </xf>
    <xf numFmtId="0" fontId="17" fillId="0" borderId="0" xfId="0" applyFont="1" applyFill="1" applyAlignment="1">
      <alignment vertical="center"/>
    </xf>
    <xf numFmtId="0" fontId="17" fillId="0" borderId="0" xfId="0" applyFont="1" applyAlignment="1">
      <alignment vertical="center"/>
    </xf>
    <xf numFmtId="49" fontId="17" fillId="0" borderId="0" xfId="0" applyNumberFormat="1" applyFont="1" applyFill="1" applyAlignment="1" applyProtection="1">
      <alignment vertical="center"/>
    </xf>
    <xf numFmtId="49" fontId="17" fillId="0" borderId="0" xfId="0" applyNumberFormat="1" applyFont="1" applyFill="1" applyAlignment="1">
      <alignment vertical="center"/>
    </xf>
    <xf numFmtId="38" fontId="16"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38" fontId="17" fillId="0" borderId="0" xfId="0" applyNumberFormat="1" applyFont="1" applyFill="1" applyBorder="1" applyAlignment="1" applyProtection="1">
      <alignment horizontal="center" vertical="center"/>
    </xf>
    <xf numFmtId="38" fontId="16"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0" fontId="17" fillId="0" borderId="0" xfId="0" applyFont="1" applyBorder="1" applyAlignment="1">
      <alignment vertical="center"/>
    </xf>
    <xf numFmtId="49" fontId="19" fillId="0" borderId="0" xfId="0" applyNumberFormat="1" applyFont="1" applyFill="1" applyAlignment="1" applyProtection="1">
      <alignment vertical="center"/>
    </xf>
    <xf numFmtId="0" fontId="15" fillId="0" borderId="0" xfId="0" applyFont="1" applyFill="1" applyAlignment="1">
      <alignment vertical="center"/>
    </xf>
    <xf numFmtId="49" fontId="17" fillId="0" borderId="0" xfId="0" applyNumberFormat="1" applyFont="1" applyFill="1" applyBorder="1" applyAlignment="1">
      <alignment vertical="center"/>
    </xf>
    <xf numFmtId="49" fontId="17" fillId="4" borderId="0" xfId="0" applyNumberFormat="1" applyFont="1" applyFill="1" applyAlignment="1">
      <alignment vertical="center"/>
    </xf>
    <xf numFmtId="49" fontId="19" fillId="0" borderId="0" xfId="0" applyNumberFormat="1" applyFont="1" applyFill="1" applyAlignment="1">
      <alignment vertical="center"/>
    </xf>
    <xf numFmtId="49" fontId="19" fillId="4" borderId="0" xfId="0" applyNumberFormat="1" applyFont="1" applyFill="1" applyAlignment="1">
      <alignment vertical="center"/>
    </xf>
    <xf numFmtId="38" fontId="17" fillId="4" borderId="0" xfId="0" applyNumberFormat="1" applyFont="1" applyFill="1" applyAlignment="1" applyProtection="1">
      <alignment vertical="center"/>
    </xf>
    <xf numFmtId="0" fontId="19" fillId="0" borderId="0" xfId="0" applyFont="1" applyAlignment="1">
      <alignment vertical="center"/>
    </xf>
    <xf numFmtId="0" fontId="18" fillId="0" borderId="0" xfId="0" applyFont="1" applyAlignment="1">
      <alignment vertical="center"/>
    </xf>
    <xf numFmtId="0" fontId="40" fillId="0" borderId="0" xfId="107"/>
    <xf numFmtId="49" fontId="41" fillId="0" borderId="0" xfId="107" applyNumberFormat="1" applyFont="1" applyFill="1" applyAlignment="1" applyProtection="1">
      <alignment vertical="center"/>
    </xf>
    <xf numFmtId="0" fontId="42" fillId="0" borderId="0" xfId="107" applyFont="1" applyFill="1" applyAlignment="1">
      <alignment vertical="center"/>
    </xf>
    <xf numFmtId="0" fontId="42" fillId="0" borderId="0" xfId="107" applyFont="1" applyAlignment="1">
      <alignment vertical="center"/>
    </xf>
    <xf numFmtId="49" fontId="42" fillId="0" borderId="0" xfId="107" applyNumberFormat="1" applyFont="1" applyFill="1" applyAlignment="1" applyProtection="1">
      <alignment vertical="center"/>
    </xf>
    <xf numFmtId="38" fontId="41" fillId="0" borderId="0" xfId="107" applyNumberFormat="1" applyFont="1" applyFill="1" applyBorder="1" applyAlignment="1" applyProtection="1">
      <alignment horizontal="center" vertical="center"/>
    </xf>
    <xf numFmtId="49" fontId="43" fillId="0" borderId="0" xfId="107" applyNumberFormat="1" applyFont="1" applyFill="1" applyBorder="1" applyAlignment="1" applyProtection="1">
      <alignment horizontal="center" vertical="center"/>
    </xf>
    <xf numFmtId="38" fontId="42" fillId="0" borderId="0" xfId="107" applyNumberFormat="1" applyFont="1" applyFill="1" applyBorder="1" applyAlignment="1" applyProtection="1">
      <alignment horizontal="center" vertical="center"/>
    </xf>
    <xf numFmtId="38" fontId="41" fillId="0" borderId="0" xfId="107" applyNumberFormat="1" applyFont="1" applyFill="1" applyBorder="1" applyAlignment="1" applyProtection="1">
      <alignment vertical="center"/>
    </xf>
    <xf numFmtId="49" fontId="42" fillId="0" borderId="0" xfId="107" applyNumberFormat="1" applyFont="1" applyFill="1" applyBorder="1" applyAlignment="1" applyProtection="1">
      <alignment vertical="center"/>
    </xf>
    <xf numFmtId="0" fontId="42" fillId="0" borderId="0" xfId="107" applyFont="1" applyBorder="1" applyAlignment="1">
      <alignment vertical="center"/>
    </xf>
    <xf numFmtId="49" fontId="44" fillId="0" borderId="0" xfId="107" applyNumberFormat="1" applyFont="1" applyFill="1" applyAlignment="1" applyProtection="1">
      <alignment vertical="center"/>
    </xf>
    <xf numFmtId="0" fontId="45" fillId="0" borderId="0" xfId="107" applyFont="1" applyFill="1" applyAlignment="1">
      <alignment vertical="center"/>
    </xf>
    <xf numFmtId="49" fontId="42" fillId="0" borderId="0" xfId="107" applyNumberFormat="1" applyFont="1" applyFill="1" applyBorder="1" applyAlignment="1">
      <alignment vertical="center"/>
    </xf>
    <xf numFmtId="49" fontId="42" fillId="28" borderId="0" xfId="107" applyNumberFormat="1" applyFont="1" applyFill="1" applyAlignment="1">
      <alignment vertical="center"/>
    </xf>
    <xf numFmtId="49" fontId="44" fillId="0" borderId="0" xfId="107" applyNumberFormat="1" applyFont="1" applyFill="1" applyAlignment="1">
      <alignment vertical="center"/>
    </xf>
    <xf numFmtId="49" fontId="44" fillId="28" borderId="0" xfId="107" applyNumberFormat="1" applyFont="1" applyFill="1" applyAlignment="1">
      <alignment vertical="center"/>
    </xf>
    <xf numFmtId="49" fontId="42" fillId="0" borderId="0" xfId="107" applyNumberFormat="1" applyFont="1" applyFill="1" applyAlignment="1">
      <alignment vertical="center"/>
    </xf>
    <xf numFmtId="38" fontId="42" fillId="28" borderId="0" xfId="107" applyNumberFormat="1" applyFont="1" applyFill="1" applyAlignment="1" applyProtection="1">
      <alignment vertical="center"/>
    </xf>
    <xf numFmtId="0" fontId="44" fillId="0" borderId="0" xfId="107" applyFont="1" applyAlignment="1">
      <alignment vertical="center"/>
    </xf>
    <xf numFmtId="0" fontId="43" fillId="0" borderId="0" xfId="107" applyFont="1" applyAlignment="1">
      <alignment vertical="center"/>
    </xf>
    <xf numFmtId="0" fontId="45" fillId="0" borderId="0" xfId="107" applyFont="1" applyAlignment="1">
      <alignment vertical="center"/>
    </xf>
    <xf numFmtId="38" fontId="5" fillId="4" borderId="0" xfId="0" applyNumberFormat="1" applyFont="1" applyFill="1" applyBorder="1" applyAlignment="1" applyProtection="1">
      <alignment vertical="center"/>
    </xf>
    <xf numFmtId="38" fontId="17" fillId="4" borderId="0" xfId="0" applyNumberFormat="1" applyFont="1" applyFill="1" applyBorder="1" applyAlignment="1" applyProtection="1">
      <alignment vertical="center"/>
    </xf>
    <xf numFmtId="38" fontId="42" fillId="28" borderId="0" xfId="107" applyNumberFormat="1" applyFont="1" applyFill="1" applyBorder="1" applyAlignment="1" applyProtection="1">
      <alignment vertical="center"/>
    </xf>
    <xf numFmtId="38" fontId="5" fillId="4" borderId="58" xfId="0" applyNumberFormat="1" applyFont="1" applyFill="1" applyBorder="1" applyAlignment="1" applyProtection="1">
      <alignment vertical="center"/>
    </xf>
    <xf numFmtId="0" fontId="50" fillId="2" borderId="0" xfId="0" applyFont="1" applyFill="1" applyBorder="1" applyAlignment="1" applyProtection="1">
      <alignment horizontal="right" vertical="center"/>
    </xf>
    <xf numFmtId="0" fontId="50" fillId="2" borderId="0" xfId="0" applyFont="1" applyFill="1" applyAlignment="1">
      <alignment horizontal="right" vertical="center"/>
    </xf>
    <xf numFmtId="38" fontId="49" fillId="3" borderId="0" xfId="0" applyNumberFormat="1" applyFont="1" applyFill="1" applyBorder="1" applyAlignment="1" applyProtection="1">
      <alignment vertical="center"/>
    </xf>
    <xf numFmtId="38" fontId="51" fillId="2" borderId="1" xfId="0" applyNumberFormat="1" applyFont="1" applyFill="1" applyBorder="1" applyAlignment="1" applyProtection="1">
      <alignment horizontal="left" vertical="center"/>
    </xf>
    <xf numFmtId="38" fontId="51" fillId="2" borderId="2" xfId="0" applyNumberFormat="1" applyFont="1" applyFill="1" applyBorder="1" applyAlignment="1" applyProtection="1">
      <alignment horizontal="center" vertical="center"/>
    </xf>
    <xf numFmtId="49" fontId="54" fillId="0" borderId="0" xfId="0" applyNumberFormat="1" applyFont="1" applyFill="1" applyBorder="1" applyAlignment="1" applyProtection="1">
      <alignment vertical="center"/>
    </xf>
    <xf numFmtId="38" fontId="51" fillId="3" borderId="3" xfId="0" applyNumberFormat="1" applyFont="1" applyFill="1" applyBorder="1" applyAlignment="1" applyProtection="1">
      <alignment horizontal="left" vertical="center"/>
    </xf>
    <xf numFmtId="1" fontId="51" fillId="3" borderId="22" xfId="0" applyNumberFormat="1" applyFont="1" applyFill="1" applyBorder="1" applyAlignment="1" applyProtection="1">
      <alignment horizontal="center" vertical="center"/>
    </xf>
    <xf numFmtId="49" fontId="54" fillId="0" borderId="0" xfId="0" applyNumberFormat="1" applyFont="1" applyFill="1" applyAlignment="1" applyProtection="1">
      <alignment vertical="center"/>
    </xf>
    <xf numFmtId="38" fontId="2" fillId="0" borderId="4" xfId="0" applyNumberFormat="1" applyFont="1" applyFill="1" applyBorder="1" applyAlignment="1" applyProtection="1">
      <alignment vertical="center"/>
    </xf>
    <xf numFmtId="38" fontId="2" fillId="0" borderId="5" xfId="0" applyNumberFormat="1" applyFont="1" applyFill="1" applyBorder="1" applyAlignment="1" applyProtection="1">
      <alignment vertical="center"/>
      <protection locked="0"/>
    </xf>
    <xf numFmtId="38" fontId="2" fillId="0" borderId="6" xfId="0" applyNumberFormat="1" applyFont="1" applyFill="1" applyBorder="1" applyAlignment="1" applyProtection="1">
      <alignment vertical="center"/>
    </xf>
    <xf numFmtId="38" fontId="2" fillId="0" borderId="7" xfId="0" applyNumberFormat="1" applyFont="1" applyFill="1" applyBorder="1" applyAlignment="1" applyProtection="1">
      <alignment vertical="center"/>
      <protection locked="0"/>
    </xf>
    <xf numFmtId="38" fontId="2" fillId="0" borderId="8" xfId="0" applyNumberFormat="1" applyFont="1" applyFill="1" applyBorder="1" applyAlignment="1" applyProtection="1">
      <alignment vertical="center"/>
      <protection locked="0"/>
    </xf>
    <xf numFmtId="38" fontId="2" fillId="0" borderId="9" xfId="0" applyNumberFormat="1" applyFont="1" applyFill="1" applyBorder="1" applyAlignment="1" applyProtection="1">
      <alignment vertical="center"/>
    </xf>
    <xf numFmtId="38" fontId="2" fillId="0" borderId="10" xfId="0" applyNumberFormat="1" applyFont="1" applyFill="1" applyBorder="1" applyAlignment="1" applyProtection="1">
      <alignment vertical="center"/>
      <protection locked="0"/>
    </xf>
    <xf numFmtId="38" fontId="51" fillId="3" borderId="11" xfId="0" applyNumberFormat="1" applyFont="1" applyFill="1" applyBorder="1" applyAlignment="1" applyProtection="1">
      <alignment horizontal="left" vertical="center"/>
    </xf>
    <xf numFmtId="38" fontId="51" fillId="3" borderId="12" xfId="0" applyNumberFormat="1" applyFont="1" applyFill="1" applyBorder="1" applyAlignment="1" applyProtection="1">
      <alignment vertical="center"/>
    </xf>
    <xf numFmtId="38" fontId="51" fillId="3" borderId="13" xfId="0" applyNumberFormat="1" applyFont="1" applyFill="1" applyBorder="1" applyAlignment="1" applyProtection="1">
      <alignment vertical="center"/>
    </xf>
    <xf numFmtId="38" fontId="51" fillId="3" borderId="14" xfId="0" applyNumberFormat="1" applyFont="1" applyFill="1" applyBorder="1" applyAlignment="1">
      <alignment vertical="center"/>
    </xf>
    <xf numFmtId="38" fontId="51" fillId="3" borderId="15" xfId="0" applyNumberFormat="1" applyFont="1" applyFill="1" applyBorder="1" applyAlignment="1" applyProtection="1">
      <alignment vertical="center"/>
    </xf>
    <xf numFmtId="38" fontId="51" fillId="3" borderId="16" xfId="0" applyNumberFormat="1" applyFont="1" applyFill="1" applyBorder="1" applyAlignment="1" applyProtection="1">
      <alignment vertical="center"/>
    </xf>
    <xf numFmtId="38" fontId="51" fillId="3" borderId="17" xfId="0" applyNumberFormat="1" applyFont="1" applyFill="1" applyBorder="1" applyAlignment="1">
      <alignment vertical="center"/>
    </xf>
    <xf numFmtId="38" fontId="51" fillId="3" borderId="18" xfId="0" applyNumberFormat="1" applyFont="1" applyFill="1" applyBorder="1" applyAlignment="1" applyProtection="1">
      <alignment horizontal="left" vertical="center"/>
    </xf>
    <xf numFmtId="38" fontId="51" fillId="3" borderId="19" xfId="0" applyNumberFormat="1" applyFont="1" applyFill="1" applyBorder="1" applyAlignment="1" applyProtection="1">
      <alignment vertical="center"/>
    </xf>
    <xf numFmtId="38" fontId="51" fillId="3" borderId="12" xfId="0" applyNumberFormat="1" applyFont="1" applyFill="1" applyBorder="1" applyAlignment="1" applyProtection="1">
      <alignment horizontal="right" vertical="center"/>
    </xf>
    <xf numFmtId="38" fontId="2" fillId="0" borderId="20" xfId="0" applyNumberFormat="1" applyFont="1" applyFill="1" applyBorder="1" applyAlignment="1" applyProtection="1">
      <alignment vertical="center"/>
    </xf>
    <xf numFmtId="38" fontId="2" fillId="0" borderId="21" xfId="0" applyNumberFormat="1" applyFont="1" applyFill="1" applyBorder="1" applyAlignment="1" applyProtection="1">
      <alignment vertical="center"/>
      <protection locked="0"/>
    </xf>
    <xf numFmtId="38" fontId="51" fillId="3" borderId="22" xfId="0" applyNumberFormat="1" applyFont="1" applyFill="1" applyBorder="1" applyAlignment="1" applyProtection="1">
      <alignment vertical="center"/>
    </xf>
    <xf numFmtId="38" fontId="55" fillId="4" borderId="18" xfId="0" applyNumberFormat="1" applyFont="1" applyFill="1" applyBorder="1" applyAlignment="1" applyProtection="1">
      <alignment horizontal="left" vertical="center"/>
    </xf>
    <xf numFmtId="38" fontId="2" fillId="4" borderId="19" xfId="0" applyNumberFormat="1" applyFont="1" applyFill="1" applyBorder="1" applyAlignment="1">
      <alignment vertical="center"/>
    </xf>
    <xf numFmtId="38" fontId="51" fillId="3" borderId="16" xfId="0" applyNumberFormat="1" applyFont="1" applyFill="1" applyBorder="1" applyAlignment="1" applyProtection="1">
      <alignment horizontal="left" vertical="center"/>
    </xf>
    <xf numFmtId="38" fontId="51" fillId="3" borderId="17" xfId="0" applyNumberFormat="1" applyFont="1" applyFill="1" applyBorder="1" applyAlignment="1" applyProtection="1">
      <alignment horizontal="left" vertical="center"/>
    </xf>
    <xf numFmtId="38" fontId="2" fillId="0" borderId="23" xfId="0" applyNumberFormat="1" applyFont="1" applyFill="1" applyBorder="1" applyAlignment="1" applyProtection="1">
      <alignment vertical="center"/>
    </xf>
    <xf numFmtId="38" fontId="51" fillId="2" borderId="2" xfId="0" applyNumberFormat="1" applyFont="1" applyFill="1" applyBorder="1" applyAlignment="1" applyProtection="1">
      <alignment horizontal="right" vertical="center"/>
    </xf>
    <xf numFmtId="38" fontId="53" fillId="4" borderId="0" xfId="0" applyNumberFormat="1" applyFont="1" applyFill="1" applyAlignment="1" applyProtection="1">
      <alignment vertical="center"/>
    </xf>
    <xf numFmtId="38" fontId="56" fillId="4" borderId="0" xfId="0" applyNumberFormat="1" applyFont="1" applyFill="1" applyBorder="1" applyAlignment="1" applyProtection="1">
      <alignment horizontal="left" vertical="center"/>
    </xf>
    <xf numFmtId="38" fontId="56" fillId="4" borderId="0" xfId="0" applyNumberFormat="1" applyFont="1" applyFill="1" applyBorder="1" applyAlignment="1" applyProtection="1">
      <alignment vertical="center"/>
    </xf>
    <xf numFmtId="38" fontId="57" fillId="4" borderId="0" xfId="0" applyNumberFormat="1" applyFont="1" applyFill="1" applyBorder="1" applyAlignment="1" applyProtection="1">
      <alignment horizontal="left" vertical="center"/>
    </xf>
    <xf numFmtId="49" fontId="54" fillId="0" borderId="0" xfId="0" applyNumberFormat="1" applyFont="1" applyFill="1" applyAlignment="1">
      <alignment vertical="center"/>
    </xf>
    <xf numFmtId="38" fontId="57" fillId="4" borderId="0" xfId="0" applyNumberFormat="1" applyFont="1" applyFill="1" applyBorder="1" applyAlignment="1" applyProtection="1">
      <alignment vertical="center"/>
    </xf>
    <xf numFmtId="38" fontId="51" fillId="3" borderId="1" xfId="0" applyNumberFormat="1" applyFont="1" applyFill="1" applyBorder="1" applyAlignment="1" applyProtection="1">
      <alignment horizontal="left" vertical="center"/>
    </xf>
    <xf numFmtId="38" fontId="51" fillId="3" borderId="2" xfId="0" applyNumberFormat="1" applyFont="1" applyFill="1" applyBorder="1" applyAlignment="1" applyProtection="1">
      <alignment vertical="center"/>
    </xf>
    <xf numFmtId="38" fontId="2" fillId="0" borderId="24" xfId="0" applyNumberFormat="1" applyFont="1" applyFill="1" applyBorder="1" applyAlignment="1" applyProtection="1">
      <alignment vertical="center"/>
    </xf>
    <xf numFmtId="38" fontId="50" fillId="4" borderId="0" xfId="0" applyNumberFormat="1" applyFont="1" applyFill="1" applyBorder="1" applyAlignment="1" applyProtection="1">
      <alignment horizontal="right" vertical="center"/>
    </xf>
    <xf numFmtId="38" fontId="51" fillId="0" borderId="0" xfId="0" applyNumberFormat="1" applyFont="1" applyFill="1" applyBorder="1" applyAlignment="1" applyProtection="1">
      <alignment horizontal="left" vertical="center"/>
    </xf>
    <xf numFmtId="38" fontId="2" fillId="0" borderId="0" xfId="0" applyNumberFormat="1" applyFont="1" applyFill="1" applyBorder="1" applyAlignment="1" applyProtection="1">
      <alignment horizontal="right" vertical="center"/>
    </xf>
    <xf numFmtId="38" fontId="2" fillId="4" borderId="0" xfId="0" applyNumberFormat="1" applyFont="1" applyFill="1" applyAlignment="1" applyProtection="1">
      <alignment vertical="center"/>
    </xf>
    <xf numFmtId="38" fontId="49" fillId="4" borderId="0" xfId="0" applyNumberFormat="1" applyFont="1" applyFill="1" applyBorder="1" applyAlignment="1" applyProtection="1">
      <alignment horizontal="right" vertical="center"/>
    </xf>
    <xf numFmtId="0" fontId="51" fillId="2" borderId="2" xfId="0" applyNumberFormat="1" applyFont="1" applyFill="1" applyBorder="1" applyAlignment="1" applyProtection="1">
      <alignment horizontal="center" vertical="center"/>
    </xf>
    <xf numFmtId="38" fontId="2" fillId="0" borderId="6" xfId="0" applyNumberFormat="1" applyFont="1" applyFill="1" applyBorder="1" applyAlignment="1" applyProtection="1">
      <alignment horizontal="left" vertical="center"/>
    </xf>
    <xf numFmtId="38" fontId="2" fillId="0" borderId="7" xfId="0" applyNumberFormat="1" applyFont="1" applyFill="1" applyBorder="1" applyAlignment="1" applyProtection="1">
      <alignment horizontal="right" vertical="center"/>
      <protection locked="0"/>
    </xf>
    <xf numFmtId="38" fontId="2" fillId="0" borderId="4" xfId="0" applyNumberFormat="1" applyFont="1" applyFill="1" applyBorder="1" applyAlignment="1" applyProtection="1">
      <alignment horizontal="left" vertical="center"/>
    </xf>
    <xf numFmtId="38" fontId="2" fillId="0" borderId="5" xfId="0" applyNumberFormat="1" applyFont="1" applyFill="1" applyBorder="1" applyAlignment="1" applyProtection="1">
      <alignment horizontal="right" vertical="center"/>
      <protection locked="0"/>
    </xf>
    <xf numFmtId="38" fontId="2" fillId="0" borderId="15" xfId="0" applyNumberFormat="1" applyFont="1" applyFill="1" applyBorder="1" applyAlignment="1" applyProtection="1">
      <alignment horizontal="left" vertical="center"/>
    </xf>
    <xf numFmtId="38" fontId="2" fillId="0" borderId="10" xfId="0" applyNumberFormat="1" applyFont="1" applyFill="1" applyBorder="1" applyAlignment="1" applyProtection="1">
      <alignment horizontal="right" vertical="center"/>
      <protection locked="0"/>
    </xf>
    <xf numFmtId="49" fontId="52" fillId="0" borderId="0" xfId="0" applyNumberFormat="1" applyFont="1" applyFill="1" applyAlignment="1">
      <alignment vertical="center"/>
    </xf>
    <xf numFmtId="38" fontId="51" fillId="3" borderId="2" xfId="0" applyNumberFormat="1" applyFont="1" applyFill="1" applyBorder="1" applyAlignment="1" applyProtection="1">
      <alignment horizontal="right" vertical="center"/>
    </xf>
    <xf numFmtId="49" fontId="52" fillId="0" borderId="0" xfId="0" applyNumberFormat="1" applyFont="1" applyFill="1" applyAlignment="1" applyProtection="1">
      <alignment vertical="center"/>
    </xf>
    <xf numFmtId="38" fontId="2" fillId="0" borderId="24" xfId="0" applyNumberFormat="1" applyFont="1" applyFill="1" applyBorder="1" applyAlignment="1" applyProtection="1">
      <alignment horizontal="left" vertical="center"/>
    </xf>
    <xf numFmtId="38" fontId="51" fillId="3" borderId="2" xfId="0" applyNumberFormat="1" applyFont="1" applyFill="1" applyBorder="1" applyAlignment="1">
      <alignment horizontal="right" vertical="center"/>
    </xf>
    <xf numFmtId="38" fontId="52" fillId="4" borderId="0" xfId="0" applyNumberFormat="1" applyFont="1" applyFill="1" applyAlignment="1" applyProtection="1">
      <alignment vertical="center"/>
    </xf>
    <xf numFmtId="38" fontId="51" fillId="2" borderId="2" xfId="0" applyNumberFormat="1" applyFont="1" applyFill="1" applyBorder="1" applyAlignment="1" applyProtection="1">
      <alignment horizontal="left" vertical="center"/>
    </xf>
    <xf numFmtId="38" fontId="2" fillId="3" borderId="3" xfId="0" applyNumberFormat="1" applyFont="1" applyFill="1" applyBorder="1" applyAlignment="1">
      <alignment horizontal="left" vertical="center"/>
    </xf>
    <xf numFmtId="38" fontId="51" fillId="3" borderId="22" xfId="0" applyNumberFormat="1" applyFont="1" applyFill="1" applyBorder="1" applyAlignment="1" applyProtection="1">
      <alignment horizontal="right" vertical="center"/>
    </xf>
    <xf numFmtId="0" fontId="2" fillId="0" borderId="0" xfId="0" applyFont="1" applyAlignment="1">
      <alignment vertical="center"/>
    </xf>
    <xf numFmtId="38" fontId="2" fillId="0" borderId="0" xfId="0" applyNumberFormat="1" applyFont="1" applyAlignment="1">
      <alignment vertical="center"/>
    </xf>
    <xf numFmtId="38" fontId="50" fillId="3" borderId="0" xfId="0" applyNumberFormat="1" applyFont="1" applyFill="1" applyBorder="1" applyAlignment="1" applyProtection="1">
      <alignment vertical="center"/>
    </xf>
    <xf numFmtId="49" fontId="58" fillId="0" borderId="0" xfId="0" applyNumberFormat="1" applyFont="1" applyFill="1" applyBorder="1" applyAlignment="1" applyProtection="1">
      <alignment vertical="center"/>
    </xf>
    <xf numFmtId="49" fontId="58" fillId="0" borderId="0" xfId="0" applyNumberFormat="1" applyFont="1" applyFill="1" applyAlignment="1" applyProtection="1">
      <alignment vertical="center"/>
    </xf>
    <xf numFmtId="38" fontId="51" fillId="31" borderId="1" xfId="0" applyNumberFormat="1" applyFont="1" applyFill="1" applyBorder="1" applyAlignment="1" applyProtection="1">
      <alignment horizontal="left" vertical="center"/>
    </xf>
    <xf numFmtId="38" fontId="51" fillId="31" borderId="2" xfId="0" applyNumberFormat="1" applyFont="1" applyFill="1" applyBorder="1" applyAlignment="1" applyProtection="1">
      <alignment horizontal="center" vertical="center"/>
    </xf>
    <xf numFmtId="49" fontId="59" fillId="0" borderId="0" xfId="0" applyNumberFormat="1" applyFont="1" applyFill="1" applyBorder="1" applyAlignment="1" applyProtection="1">
      <alignment vertical="center"/>
    </xf>
    <xf numFmtId="49" fontId="59" fillId="0" borderId="0" xfId="0" applyNumberFormat="1" applyFont="1" applyFill="1" applyAlignment="1" applyProtection="1">
      <alignment vertical="center"/>
    </xf>
    <xf numFmtId="38" fontId="51" fillId="4" borderId="11" xfId="0" applyNumberFormat="1" applyFont="1" applyFill="1" applyBorder="1" applyAlignment="1" applyProtection="1">
      <alignment horizontal="left" vertical="center"/>
    </xf>
    <xf numFmtId="38" fontId="51" fillId="4" borderId="12" xfId="0" applyNumberFormat="1" applyFont="1" applyFill="1" applyBorder="1" applyAlignment="1" applyProtection="1">
      <alignment vertical="center"/>
    </xf>
    <xf numFmtId="38" fontId="51" fillId="4" borderId="16" xfId="0" applyNumberFormat="1" applyFont="1" applyFill="1" applyBorder="1" applyAlignment="1" applyProtection="1">
      <alignment vertical="center"/>
    </xf>
    <xf numFmtId="38" fontId="51" fillId="4" borderId="17" xfId="0" applyNumberFormat="1" applyFont="1" applyFill="1" applyBorder="1" applyAlignment="1">
      <alignment vertical="center"/>
    </xf>
    <xf numFmtId="38" fontId="51" fillId="31" borderId="2" xfId="0" applyNumberFormat="1" applyFont="1" applyFill="1" applyBorder="1" applyAlignment="1" applyProtection="1">
      <alignment horizontal="right" vertical="center"/>
    </xf>
    <xf numFmtId="38" fontId="60" fillId="4" borderId="0" xfId="0" applyNumberFormat="1" applyFont="1" applyFill="1" applyBorder="1" applyAlignment="1" applyProtection="1">
      <alignment horizontal="left" vertical="center"/>
    </xf>
    <xf numFmtId="38" fontId="60" fillId="4" borderId="0" xfId="0" applyNumberFormat="1" applyFont="1" applyFill="1" applyBorder="1" applyAlignment="1" applyProtection="1">
      <alignment vertical="center"/>
    </xf>
    <xf numFmtId="38" fontId="61" fillId="4" borderId="0" xfId="0" applyNumberFormat="1" applyFont="1" applyFill="1" applyBorder="1" applyAlignment="1" applyProtection="1">
      <alignment horizontal="left" vertical="center"/>
    </xf>
    <xf numFmtId="49" fontId="59" fillId="0" borderId="0" xfId="0" applyNumberFormat="1" applyFont="1" applyFill="1" applyAlignment="1">
      <alignment vertical="center"/>
    </xf>
    <xf numFmtId="38" fontId="61" fillId="4" borderId="0" xfId="0" applyNumberFormat="1" applyFont="1" applyFill="1" applyBorder="1" applyAlignment="1" applyProtection="1">
      <alignment vertical="center"/>
    </xf>
    <xf numFmtId="0" fontId="51" fillId="31" borderId="2" xfId="0" applyNumberFormat="1" applyFont="1" applyFill="1" applyBorder="1" applyAlignment="1" applyProtection="1">
      <alignment horizontal="center" vertical="center"/>
    </xf>
    <xf numFmtId="38" fontId="51" fillId="31" borderId="2" xfId="0" applyNumberFormat="1" applyFont="1" applyFill="1" applyBorder="1" applyAlignment="1" applyProtection="1">
      <alignment horizontal="left" vertical="center"/>
    </xf>
    <xf numFmtId="38" fontId="50" fillId="30" borderId="0" xfId="107" applyNumberFormat="1" applyFont="1" applyFill="1" applyBorder="1" applyAlignment="1" applyProtection="1">
      <alignment vertical="center"/>
    </xf>
    <xf numFmtId="38" fontId="51" fillId="29" borderId="1" xfId="107" applyNumberFormat="1" applyFont="1" applyFill="1" applyBorder="1" applyAlignment="1" applyProtection="1">
      <alignment horizontal="left" vertical="center"/>
    </xf>
    <xf numFmtId="38" fontId="51" fillId="29" borderId="2" xfId="107" applyNumberFormat="1" applyFont="1" applyFill="1" applyBorder="1" applyAlignment="1" applyProtection="1">
      <alignment horizontal="center" vertical="center"/>
    </xf>
    <xf numFmtId="49" fontId="62" fillId="0" borderId="0" xfId="107" applyNumberFormat="1" applyFont="1" applyFill="1" applyBorder="1" applyAlignment="1" applyProtection="1">
      <alignment vertical="center"/>
    </xf>
    <xf numFmtId="38" fontId="51" fillId="30" borderId="36" xfId="107" applyNumberFormat="1" applyFont="1" applyFill="1" applyBorder="1" applyAlignment="1" applyProtection="1">
      <alignment horizontal="left" vertical="center"/>
    </xf>
    <xf numFmtId="1" fontId="51" fillId="30" borderId="55" xfId="107" applyNumberFormat="1" applyFont="1" applyFill="1" applyBorder="1" applyAlignment="1" applyProtection="1">
      <alignment horizontal="center" vertical="center"/>
    </xf>
    <xf numFmtId="0" fontId="2" fillId="0" borderId="0" xfId="107" applyFont="1"/>
    <xf numFmtId="38" fontId="2" fillId="0" borderId="37" xfId="107" applyNumberFormat="1" applyFont="1" applyFill="1" applyBorder="1" applyAlignment="1" applyProtection="1">
      <alignment vertical="center"/>
    </xf>
    <xf numFmtId="38" fontId="2" fillId="8" borderId="38" xfId="107" applyNumberFormat="1" applyFont="1" applyFill="1" applyBorder="1" applyAlignment="1" applyProtection="1">
      <alignment vertical="center"/>
      <protection locked="0"/>
    </xf>
    <xf numFmtId="49" fontId="62" fillId="0" borderId="0" xfId="107" applyNumberFormat="1" applyFont="1" applyFill="1" applyAlignment="1" applyProtection="1">
      <alignment vertical="center"/>
    </xf>
    <xf numFmtId="38" fontId="2" fillId="0" borderId="39" xfId="107" applyNumberFormat="1" applyFont="1" applyFill="1" applyBorder="1" applyAlignment="1" applyProtection="1">
      <alignment vertical="center"/>
    </xf>
    <xf numFmtId="38" fontId="2" fillId="0" borderId="40" xfId="107" applyNumberFormat="1" applyFont="1" applyFill="1" applyBorder="1" applyAlignment="1" applyProtection="1">
      <alignment vertical="center"/>
      <protection locked="0"/>
    </xf>
    <xf numFmtId="38" fontId="2" fillId="0" borderId="41" xfId="107" applyNumberFormat="1" applyFont="1" applyFill="1" applyBorder="1" applyAlignment="1" applyProtection="1">
      <alignment vertical="center"/>
      <protection locked="0"/>
    </xf>
    <xf numFmtId="38" fontId="2" fillId="0" borderId="38" xfId="107" applyNumberFormat="1" applyFont="1" applyFill="1" applyBorder="1" applyAlignment="1" applyProtection="1">
      <alignment vertical="center"/>
      <protection locked="0"/>
    </xf>
    <xf numFmtId="38" fontId="2" fillId="0" borderId="42" xfId="107" applyNumberFormat="1" applyFont="1" applyFill="1" applyBorder="1" applyAlignment="1" applyProtection="1">
      <alignment vertical="center"/>
    </xf>
    <xf numFmtId="38" fontId="2" fillId="0" borderId="43" xfId="107" applyNumberFormat="1" applyFont="1" applyFill="1" applyBorder="1" applyAlignment="1" applyProtection="1">
      <alignment vertical="center"/>
      <protection locked="0"/>
    </xf>
    <xf numFmtId="38" fontId="51" fillId="30" borderId="44" xfId="107" applyNumberFormat="1" applyFont="1" applyFill="1" applyBorder="1" applyAlignment="1" applyProtection="1">
      <alignment horizontal="left" vertical="center"/>
    </xf>
    <xf numFmtId="38" fontId="51" fillId="30" borderId="45" xfId="107" applyNumberFormat="1" applyFont="1" applyFill="1" applyBorder="1" applyAlignment="1" applyProtection="1">
      <alignment vertical="center"/>
    </xf>
    <xf numFmtId="38" fontId="51" fillId="30" borderId="46" xfId="107" applyNumberFormat="1" applyFont="1" applyFill="1" applyBorder="1" applyAlignment="1" applyProtection="1">
      <alignment vertical="center"/>
    </xf>
    <xf numFmtId="38" fontId="51" fillId="30" borderId="47" xfId="107" applyNumberFormat="1" applyFont="1" applyFill="1" applyBorder="1" applyAlignment="1">
      <alignment vertical="center"/>
    </xf>
    <xf numFmtId="38" fontId="51" fillId="30" borderId="48" xfId="107" applyNumberFormat="1" applyFont="1" applyFill="1" applyBorder="1" applyAlignment="1" applyProtection="1">
      <alignment vertical="center"/>
    </xf>
    <xf numFmtId="38" fontId="51" fillId="30" borderId="49" xfId="107" applyNumberFormat="1" applyFont="1" applyFill="1" applyBorder="1" applyAlignment="1" applyProtection="1">
      <alignment vertical="center"/>
    </xf>
    <xf numFmtId="38" fontId="51" fillId="30" borderId="50" xfId="107" applyNumberFormat="1" applyFont="1" applyFill="1" applyBorder="1" applyAlignment="1">
      <alignment vertical="center"/>
    </xf>
    <xf numFmtId="38" fontId="51" fillId="30" borderId="51" xfId="107" applyNumberFormat="1" applyFont="1" applyFill="1" applyBorder="1" applyAlignment="1" applyProtection="1">
      <alignment horizontal="left" vertical="center"/>
    </xf>
    <xf numFmtId="38" fontId="51" fillId="30" borderId="52" xfId="107" applyNumberFormat="1" applyFont="1" applyFill="1" applyBorder="1" applyAlignment="1" applyProtection="1">
      <alignment vertical="center"/>
    </xf>
    <xf numFmtId="38" fontId="51" fillId="30" borderId="45" xfId="107" applyNumberFormat="1" applyFont="1" applyFill="1" applyBorder="1" applyAlignment="1" applyProtection="1">
      <alignment horizontal="right" vertical="center"/>
    </xf>
    <xf numFmtId="38" fontId="2" fillId="0" borderId="53" xfId="107" applyNumberFormat="1" applyFont="1" applyFill="1" applyBorder="1" applyAlignment="1" applyProtection="1">
      <alignment vertical="center"/>
    </xf>
    <xf numFmtId="38" fontId="2" fillId="0" borderId="54" xfId="107" applyNumberFormat="1" applyFont="1" applyFill="1" applyBorder="1" applyAlignment="1" applyProtection="1">
      <alignment vertical="center"/>
      <protection locked="0"/>
    </xf>
    <xf numFmtId="38" fontId="51" fillId="30" borderId="55" xfId="107" applyNumberFormat="1" applyFont="1" applyFill="1" applyBorder="1" applyAlignment="1" applyProtection="1">
      <alignment vertical="center"/>
    </xf>
    <xf numFmtId="38" fontId="55" fillId="28" borderId="51" xfId="107" applyNumberFormat="1" applyFont="1" applyFill="1" applyBorder="1" applyAlignment="1" applyProtection="1">
      <alignment horizontal="left" vertical="center"/>
    </xf>
    <xf numFmtId="38" fontId="2" fillId="28" borderId="52" xfId="107" applyNumberFormat="1" applyFont="1" applyFill="1" applyBorder="1" applyAlignment="1">
      <alignment vertical="center"/>
    </xf>
    <xf numFmtId="38" fontId="51" fillId="30" borderId="49" xfId="107" applyNumberFormat="1" applyFont="1" applyFill="1" applyBorder="1" applyAlignment="1" applyProtection="1">
      <alignment horizontal="left" vertical="center"/>
    </xf>
    <xf numFmtId="38" fontId="51" fillId="30" borderId="50" xfId="107" applyNumberFormat="1" applyFont="1" applyFill="1" applyBorder="1" applyAlignment="1" applyProtection="1">
      <alignment horizontal="left" vertical="center"/>
    </xf>
    <xf numFmtId="38" fontId="2" fillId="0" borderId="56" xfId="107" applyNumberFormat="1" applyFont="1" applyFill="1" applyBorder="1" applyAlignment="1" applyProtection="1">
      <alignment vertical="center"/>
    </xf>
    <xf numFmtId="38" fontId="51" fillId="29" borderId="34" xfId="107" applyNumberFormat="1" applyFont="1" applyFill="1" applyBorder="1" applyAlignment="1" applyProtection="1">
      <alignment horizontal="left" vertical="center"/>
    </xf>
    <xf numFmtId="38" fontId="51" fillId="29" borderId="35" xfId="107" applyNumberFormat="1" applyFont="1" applyFill="1" applyBorder="1" applyAlignment="1" applyProtection="1">
      <alignment horizontal="right" vertical="center"/>
    </xf>
    <xf numFmtId="38" fontId="2" fillId="28" borderId="0" xfId="107" applyNumberFormat="1" applyFont="1" applyFill="1" applyAlignment="1" applyProtection="1">
      <alignment vertical="center"/>
    </xf>
    <xf numFmtId="38" fontId="62" fillId="28" borderId="0" xfId="107" applyNumberFormat="1" applyFont="1" applyFill="1" applyBorder="1" applyAlignment="1" applyProtection="1">
      <alignment horizontal="left" vertical="center"/>
    </xf>
    <xf numFmtId="38" fontId="62" fillId="28" borderId="0" xfId="107" applyNumberFormat="1" applyFont="1" applyFill="1" applyBorder="1" applyAlignment="1" applyProtection="1">
      <alignment vertical="center"/>
    </xf>
    <xf numFmtId="38" fontId="63" fillId="28" borderId="0" xfId="107" applyNumberFormat="1" applyFont="1" applyFill="1" applyBorder="1" applyAlignment="1" applyProtection="1">
      <alignment horizontal="left" vertical="center"/>
    </xf>
    <xf numFmtId="49" fontId="62" fillId="0" borderId="0" xfId="107" applyNumberFormat="1" applyFont="1" applyFill="1" applyAlignment="1">
      <alignment vertical="center"/>
    </xf>
    <xf numFmtId="38" fontId="63" fillId="28" borderId="0" xfId="107" applyNumberFormat="1" applyFont="1" applyFill="1" applyBorder="1" applyAlignment="1" applyProtection="1">
      <alignment vertical="center"/>
    </xf>
    <xf numFmtId="38" fontId="51" fillId="30" borderId="34" xfId="107" applyNumberFormat="1" applyFont="1" applyFill="1" applyBorder="1" applyAlignment="1" applyProtection="1">
      <alignment horizontal="left" vertical="center"/>
    </xf>
    <xf numFmtId="38" fontId="51" fillId="30" borderId="35" xfId="107" applyNumberFormat="1" applyFont="1" applyFill="1" applyBorder="1" applyAlignment="1" applyProtection="1">
      <alignment vertical="center"/>
    </xf>
    <xf numFmtId="38" fontId="2" fillId="0" borderId="57" xfId="107" applyNumberFormat="1" applyFont="1" applyFill="1" applyBorder="1" applyAlignment="1" applyProtection="1">
      <alignment vertical="center"/>
    </xf>
    <xf numFmtId="38" fontId="51" fillId="28" borderId="0" xfId="107" applyNumberFormat="1" applyFont="1" applyFill="1" applyBorder="1" applyAlignment="1" applyProtection="1">
      <alignment horizontal="right" vertical="center"/>
    </xf>
    <xf numFmtId="38" fontId="51" fillId="32" borderId="34" xfId="107" applyNumberFormat="1" applyFont="1" applyFill="1" applyBorder="1" applyAlignment="1" applyProtection="1">
      <alignment horizontal="left" vertical="center"/>
    </xf>
    <xf numFmtId="38" fontId="51" fillId="32" borderId="35" xfId="107" applyNumberFormat="1" applyFont="1" applyFill="1" applyBorder="1" applyAlignment="1" applyProtection="1">
      <alignment horizontal="right" vertical="center"/>
    </xf>
    <xf numFmtId="38" fontId="51" fillId="0" borderId="0" xfId="107" applyNumberFormat="1" applyFont="1" applyFill="1" applyBorder="1" applyAlignment="1" applyProtection="1">
      <alignment horizontal="left" vertical="center"/>
    </xf>
    <xf numFmtId="38" fontId="2" fillId="0" borderId="0" xfId="107" applyNumberFormat="1" applyFont="1" applyFill="1" applyBorder="1" applyAlignment="1" applyProtection="1">
      <alignment horizontal="right" vertical="center"/>
    </xf>
    <xf numFmtId="0" fontId="51" fillId="29" borderId="35" xfId="107" applyNumberFormat="1" applyFont="1" applyFill="1" applyBorder="1" applyAlignment="1" applyProtection="1">
      <alignment horizontal="center" vertical="center"/>
    </xf>
    <xf numFmtId="38" fontId="2" fillId="0" borderId="39" xfId="107" applyNumberFormat="1" applyFont="1" applyFill="1" applyBorder="1" applyAlignment="1" applyProtection="1">
      <alignment horizontal="left" vertical="center"/>
    </xf>
    <xf numFmtId="38" fontId="2" fillId="0" borderId="40" xfId="107" applyNumberFormat="1" applyFont="1" applyFill="1" applyBorder="1" applyAlignment="1" applyProtection="1">
      <alignment horizontal="right" vertical="center"/>
      <protection locked="0"/>
    </xf>
    <xf numFmtId="38" fontId="2" fillId="0" borderId="37" xfId="107" applyNumberFormat="1" applyFont="1" applyFill="1" applyBorder="1" applyAlignment="1" applyProtection="1">
      <alignment horizontal="left" vertical="center"/>
    </xf>
    <xf numFmtId="38" fontId="2" fillId="0" borderId="38" xfId="107" applyNumberFormat="1" applyFont="1" applyFill="1" applyBorder="1" applyAlignment="1" applyProtection="1">
      <alignment horizontal="right" vertical="center"/>
      <protection locked="0"/>
    </xf>
    <xf numFmtId="38" fontId="2" fillId="0" borderId="48" xfId="107" applyNumberFormat="1" applyFont="1" applyFill="1" applyBorder="1" applyAlignment="1" applyProtection="1">
      <alignment horizontal="left" vertical="center"/>
    </xf>
    <xf numFmtId="38" fontId="2" fillId="0" borderId="43" xfId="107" applyNumberFormat="1" applyFont="1" applyFill="1" applyBorder="1" applyAlignment="1" applyProtection="1">
      <alignment horizontal="right" vertical="center"/>
      <protection locked="0"/>
    </xf>
    <xf numFmtId="49" fontId="2" fillId="0" borderId="0" xfId="107" applyNumberFormat="1" applyFont="1" applyFill="1" applyAlignment="1">
      <alignment vertical="center"/>
    </xf>
    <xf numFmtId="38" fontId="51" fillId="30" borderId="35" xfId="107" applyNumberFormat="1" applyFont="1" applyFill="1" applyBorder="1" applyAlignment="1" applyProtection="1">
      <alignment horizontal="right" vertical="center"/>
    </xf>
    <xf numFmtId="49" fontId="2" fillId="0" borderId="0" xfId="107" applyNumberFormat="1" applyFont="1" applyFill="1" applyAlignment="1" applyProtection="1">
      <alignment vertical="center"/>
    </xf>
    <xf numFmtId="38" fontId="2" fillId="0" borderId="57" xfId="107" applyNumberFormat="1" applyFont="1" applyFill="1" applyBorder="1" applyAlignment="1" applyProtection="1">
      <alignment horizontal="left" vertical="center"/>
    </xf>
    <xf numFmtId="38" fontId="51" fillId="30" borderId="35" xfId="107" applyNumberFormat="1" applyFont="1" applyFill="1" applyBorder="1" applyAlignment="1">
      <alignment horizontal="right" vertical="center"/>
    </xf>
    <xf numFmtId="38" fontId="51" fillId="29" borderId="35" xfId="107" applyNumberFormat="1" applyFont="1" applyFill="1" applyBorder="1" applyAlignment="1" applyProtection="1">
      <alignment horizontal="left" vertical="center"/>
    </xf>
    <xf numFmtId="38" fontId="2" fillId="30" borderId="36" xfId="107" applyNumberFormat="1" applyFont="1" applyFill="1" applyBorder="1" applyAlignment="1">
      <alignment horizontal="left" vertical="center"/>
    </xf>
    <xf numFmtId="38" fontId="51" fillId="30" borderId="55" xfId="107" applyNumberFormat="1" applyFont="1" applyFill="1" applyBorder="1" applyAlignment="1" applyProtection="1">
      <alignment horizontal="right" vertical="center"/>
    </xf>
    <xf numFmtId="0" fontId="2" fillId="0" borderId="0" xfId="107" applyFont="1" applyAlignment="1">
      <alignment vertical="center"/>
    </xf>
    <xf numFmtId="38" fontId="2" fillId="0" borderId="0" xfId="107" applyNumberFormat="1" applyFont="1" applyAlignment="1">
      <alignment vertical="center"/>
    </xf>
    <xf numFmtId="38" fontId="58" fillId="4" borderId="0" xfId="0" applyNumberFormat="1" applyFont="1" applyFill="1" applyBorder="1" applyAlignment="1" applyProtection="1">
      <alignment horizontal="left" vertical="center"/>
    </xf>
    <xf numFmtId="38" fontId="58" fillId="4" borderId="0" xfId="0" applyNumberFormat="1" applyFont="1" applyFill="1" applyBorder="1" applyAlignment="1" applyProtection="1">
      <alignment vertical="center"/>
    </xf>
    <xf numFmtId="38" fontId="64" fillId="4" borderId="0" xfId="0" applyNumberFormat="1" applyFont="1" applyFill="1" applyBorder="1" applyAlignment="1" applyProtection="1">
      <alignment horizontal="left" vertical="center"/>
    </xf>
    <xf numFmtId="49" fontId="58" fillId="0" borderId="0" xfId="0" applyNumberFormat="1" applyFont="1" applyFill="1" applyAlignment="1">
      <alignment vertical="center"/>
    </xf>
    <xf numFmtId="38" fontId="64" fillId="4" borderId="0" xfId="0" applyNumberFormat="1" applyFont="1" applyFill="1" applyBorder="1" applyAlignment="1" applyProtection="1">
      <alignment vertical="center"/>
    </xf>
    <xf numFmtId="38" fontId="51" fillId="4" borderId="0" xfId="0" applyNumberFormat="1" applyFont="1" applyFill="1" applyBorder="1" applyAlignment="1" applyProtection="1">
      <alignment horizontal="right" vertical="center"/>
    </xf>
    <xf numFmtId="49" fontId="2" fillId="0" borderId="0" xfId="0" applyNumberFormat="1" applyFont="1" applyFill="1" applyAlignment="1">
      <alignment vertical="center"/>
    </xf>
    <xf numFmtId="49" fontId="2" fillId="0" borderId="0" xfId="0" applyNumberFormat="1" applyFont="1" applyFill="1" applyAlignment="1" applyProtection="1">
      <alignment vertical="center"/>
    </xf>
    <xf numFmtId="1" fontId="51" fillId="3" borderId="2" xfId="0" applyNumberFormat="1" applyFont="1" applyFill="1" applyBorder="1" applyAlignment="1" applyProtection="1">
      <alignment horizontal="center" vertical="center"/>
    </xf>
    <xf numFmtId="164" fontId="2" fillId="0" borderId="4" xfId="685" applyFont="1" applyFill="1" applyBorder="1" applyAlignment="1" applyProtection="1">
      <alignment vertical="center"/>
    </xf>
    <xf numFmtId="38" fontId="2" fillId="0" borderId="5" xfId="0" applyNumberFormat="1" applyFont="1" applyBorder="1" applyAlignment="1" applyProtection="1">
      <alignment vertical="center"/>
      <protection locked="0"/>
    </xf>
    <xf numFmtId="38" fontId="2" fillId="0" borderId="7" xfId="0" applyNumberFormat="1" applyFont="1" applyBorder="1" applyAlignment="1" applyProtection="1">
      <alignment vertical="center"/>
      <protection locked="0"/>
    </xf>
    <xf numFmtId="38" fontId="2" fillId="0" borderId="8" xfId="0" applyNumberFormat="1" applyFont="1" applyBorder="1" applyAlignment="1" applyProtection="1">
      <alignment vertical="center"/>
      <protection locked="0"/>
    </xf>
    <xf numFmtId="38" fontId="2" fillId="0" borderId="10" xfId="0" applyNumberFormat="1" applyFont="1" applyBorder="1" applyAlignment="1" applyProtection="1">
      <alignment vertical="center"/>
      <protection locked="0"/>
    </xf>
    <xf numFmtId="38" fontId="2" fillId="0" borderId="21" xfId="0" applyNumberFormat="1" applyFont="1" applyBorder="1" applyAlignment="1" applyProtection="1">
      <alignment vertical="center"/>
      <protection locked="0"/>
    </xf>
    <xf numFmtId="38" fontId="2" fillId="0" borderId="7" xfId="0" applyNumberFormat="1" applyFont="1" applyBorder="1" applyAlignment="1" applyProtection="1">
      <alignment horizontal="right" vertical="center"/>
      <protection locked="0"/>
    </xf>
    <xf numFmtId="38" fontId="2" fillId="0" borderId="5" xfId="0" applyNumberFormat="1" applyFont="1" applyBorder="1" applyAlignment="1" applyProtection="1">
      <alignment horizontal="right" vertical="center"/>
      <protection locked="0"/>
    </xf>
    <xf numFmtId="38" fontId="2" fillId="0" borderId="10" xfId="0" applyNumberFormat="1" applyFont="1" applyBorder="1" applyAlignment="1" applyProtection="1">
      <alignment horizontal="right" vertical="center"/>
      <protection locked="0"/>
    </xf>
    <xf numFmtId="49" fontId="58" fillId="0" borderId="14" xfId="0" applyNumberFormat="1" applyFont="1" applyFill="1" applyBorder="1" applyAlignment="1" applyProtection="1">
      <alignment vertical="center"/>
    </xf>
    <xf numFmtId="49" fontId="62" fillId="0" borderId="0" xfId="0" applyNumberFormat="1" applyFont="1" applyFill="1" applyBorder="1" applyAlignment="1" applyProtection="1">
      <alignment vertical="center"/>
    </xf>
    <xf numFmtId="49" fontId="62" fillId="0" borderId="0" xfId="0" applyNumberFormat="1" applyFont="1" applyFill="1" applyAlignment="1" applyProtection="1">
      <alignment vertical="center"/>
    </xf>
    <xf numFmtId="38" fontId="62" fillId="4" borderId="0" xfId="0" applyNumberFormat="1" applyFont="1" applyFill="1" applyBorder="1" applyAlignment="1" applyProtection="1">
      <alignment horizontal="left" vertical="center"/>
    </xf>
    <xf numFmtId="38" fontId="62" fillId="4" borderId="0" xfId="0" applyNumberFormat="1" applyFont="1" applyFill="1" applyBorder="1" applyAlignment="1" applyProtection="1">
      <alignment vertical="center"/>
    </xf>
    <xf numFmtId="38" fontId="63" fillId="4" borderId="0" xfId="0" applyNumberFormat="1" applyFont="1" applyFill="1" applyBorder="1" applyAlignment="1" applyProtection="1">
      <alignment horizontal="left" vertical="center"/>
    </xf>
    <xf numFmtId="49" fontId="62" fillId="0" borderId="0" xfId="0" applyNumberFormat="1" applyFont="1" applyFill="1" applyAlignment="1">
      <alignment vertical="center"/>
    </xf>
    <xf numFmtId="38" fontId="63" fillId="4" borderId="0" xfId="0" applyNumberFormat="1" applyFont="1" applyFill="1" applyBorder="1" applyAlignment="1" applyProtection="1">
      <alignment vertical="center"/>
    </xf>
    <xf numFmtId="38" fontId="51" fillId="3" borderId="59" xfId="0" applyNumberFormat="1" applyFont="1" applyFill="1" applyBorder="1" applyAlignment="1" applyProtection="1">
      <alignment vertical="center"/>
      <protection locked="0"/>
    </xf>
    <xf numFmtId="38" fontId="55" fillId="0" borderId="18" xfId="0" applyNumberFormat="1" applyFont="1" applyFill="1" applyBorder="1" applyAlignment="1" applyProtection="1">
      <alignment horizontal="left" vertical="center"/>
    </xf>
    <xf numFmtId="38" fontId="2" fillId="0" borderId="19" xfId="0" applyNumberFormat="1" applyFont="1" applyFill="1" applyBorder="1" applyAlignment="1">
      <alignment vertical="center"/>
    </xf>
    <xf numFmtId="38" fontId="2" fillId="0" borderId="60" xfId="0" applyNumberFormat="1" applyFont="1" applyFill="1" applyBorder="1" applyAlignment="1" applyProtection="1">
      <alignment vertical="center"/>
      <protection locked="0"/>
    </xf>
    <xf numFmtId="38" fontId="5" fillId="0" borderId="0" xfId="0" applyNumberFormat="1" applyFont="1" applyAlignment="1">
      <alignment vertical="center"/>
    </xf>
    <xf numFmtId="49" fontId="50" fillId="3" borderId="0" xfId="0" applyNumberFormat="1" applyFont="1" applyFill="1" applyBorder="1" applyAlignment="1" applyProtection="1">
      <alignment horizontal="left" vertical="center"/>
    </xf>
    <xf numFmtId="0" fontId="50" fillId="3" borderId="0" xfId="0" applyNumberFormat="1" applyFont="1" applyFill="1" applyBorder="1" applyAlignment="1" applyProtection="1">
      <alignment horizontal="left" vertical="center"/>
    </xf>
    <xf numFmtId="0" fontId="50" fillId="2" borderId="0" xfId="0" applyFont="1" applyFill="1" applyBorder="1" applyAlignment="1" applyProtection="1">
      <alignment horizontal="right" vertical="center"/>
    </xf>
    <xf numFmtId="0" fontId="50" fillId="31" borderId="0" xfId="0" applyFont="1" applyFill="1" applyBorder="1" applyAlignment="1" applyProtection="1">
      <alignment horizontal="right" vertical="center"/>
    </xf>
    <xf numFmtId="0" fontId="53" fillId="31" borderId="0" xfId="0" applyFont="1" applyFill="1" applyAlignment="1">
      <alignment vertical="center"/>
    </xf>
    <xf numFmtId="0" fontId="53" fillId="2" borderId="0" xfId="0" applyFont="1" applyFill="1" applyAlignment="1">
      <alignment vertical="center"/>
    </xf>
    <xf numFmtId="0" fontId="50" fillId="29" borderId="0" xfId="107" applyFont="1" applyFill="1" applyBorder="1" applyAlignment="1" applyProtection="1">
      <alignment horizontal="right" vertical="center"/>
    </xf>
    <xf numFmtId="49" fontId="50" fillId="30" borderId="0" xfId="107" applyNumberFormat="1" applyFont="1" applyFill="1" applyBorder="1" applyAlignment="1" applyProtection="1">
      <alignment horizontal="left" vertical="center"/>
    </xf>
    <xf numFmtId="0" fontId="50" fillId="30" borderId="0" xfId="107" applyNumberFormat="1" applyFont="1" applyFill="1" applyBorder="1" applyAlignment="1" applyProtection="1">
      <alignment horizontal="left" vertical="center"/>
    </xf>
    <xf numFmtId="0" fontId="53" fillId="2" borderId="0" xfId="0" applyFont="1" applyFill="1" applyBorder="1" applyAlignment="1">
      <alignment vertical="center"/>
    </xf>
    <xf numFmtId="0" fontId="50" fillId="2" borderId="0" xfId="0" applyFont="1" applyFill="1" applyBorder="1" applyAlignment="1" applyProtection="1">
      <alignment horizontal="center" vertical="center"/>
    </xf>
  </cellXfs>
  <cellStyles count="686">
    <cellStyle name="%" xfId="20"/>
    <cellStyle name="20% - Accent1 2" xfId="21"/>
    <cellStyle name="20% - Accent2 2" xfId="22"/>
    <cellStyle name="20% - Accent3 2" xfId="23"/>
    <cellStyle name="20% - Accent4 2" xfId="24"/>
    <cellStyle name="20% - Accent5 2" xfId="25"/>
    <cellStyle name="20% - Accent6 2" xfId="26"/>
    <cellStyle name="40% - Accent1 2" xfId="27"/>
    <cellStyle name="40% - Accent2 2" xfId="28"/>
    <cellStyle name="40% - Accent3 2" xfId="29"/>
    <cellStyle name="40% - Accent4 2" xfId="30"/>
    <cellStyle name="40% - Accent5 2" xfId="31"/>
    <cellStyle name="40% - Accent6 2" xfId="32"/>
    <cellStyle name="60% - Accent1" xfId="1"/>
    <cellStyle name="60% - Accent1 2" xfId="33"/>
    <cellStyle name="60% - Accent2 2" xfId="34"/>
    <cellStyle name="60% - Accent3 2" xfId="35"/>
    <cellStyle name="60% - Accent4 2" xfId="36"/>
    <cellStyle name="60% - Accent5 2" xfId="37"/>
    <cellStyle name="60% - Accent6 2" xfId="38"/>
    <cellStyle name="Accent1 2" xfId="39"/>
    <cellStyle name="Accent2 2" xfId="40"/>
    <cellStyle name="Accent3 2" xfId="41"/>
    <cellStyle name="Accent4 2" xfId="42"/>
    <cellStyle name="Accent5 2" xfId="43"/>
    <cellStyle name="Accent6 2" xfId="44"/>
    <cellStyle name="Akcent 1" xfId="2"/>
    <cellStyle name="Bad 2" xfId="45"/>
    <cellStyle name="Calculation 2" xfId="46"/>
    <cellStyle name="Check Cell 2" xfId="47"/>
    <cellStyle name="Comma [0]_Worksheet in 2286 Estados Contables 30.06" xfId="484"/>
    <cellStyle name="Comma 2" xfId="48"/>
    <cellStyle name="Comma 2 2" xfId="49"/>
    <cellStyle name="Comma 2 3" xfId="485"/>
    <cellStyle name="Comma 2 3 2" xfId="486"/>
    <cellStyle name="Comma 2 5" xfId="487"/>
    <cellStyle name="Comma 3" xfId="50"/>
    <cellStyle name="Comma 4" xfId="488"/>
    <cellStyle name="Comma 5" xfId="489"/>
    <cellStyle name="Comma 6" xfId="51"/>
    <cellStyle name="Comma_Worksheet in 2286 Estados Contables 30.06" xfId="490"/>
    <cellStyle name="Énfasis1 2" xfId="3"/>
    <cellStyle name="Énfasis3 2" xfId="4"/>
    <cellStyle name="Euro" xfId="52"/>
    <cellStyle name="Euro 10" xfId="116"/>
    <cellStyle name="Euro 2" xfId="117"/>
    <cellStyle name="Euro 2 2" xfId="118"/>
    <cellStyle name="Euro 3" xfId="119"/>
    <cellStyle name="Euro 3 2" xfId="120"/>
    <cellStyle name="Euro 4" xfId="121"/>
    <cellStyle name="Euro 4 2" xfId="122"/>
    <cellStyle name="Euro 5" xfId="123"/>
    <cellStyle name="Euro 5 2" xfId="124"/>
    <cellStyle name="Euro 5 2 2" xfId="125"/>
    <cellStyle name="Euro 5 2 2 2" xfId="126"/>
    <cellStyle name="Euro 5 3" xfId="127"/>
    <cellStyle name="Euro 5 3 2" xfId="128"/>
    <cellStyle name="Euro 5 4" xfId="129"/>
    <cellStyle name="Euro 5_Cálculo" xfId="130"/>
    <cellStyle name="Euro 6" xfId="131"/>
    <cellStyle name="Euro 6 2" xfId="132"/>
    <cellStyle name="Euro 6 2 2" xfId="133"/>
    <cellStyle name="Euro 7" xfId="134"/>
    <cellStyle name="Euro 8" xfId="135"/>
    <cellStyle name="Euro 9" xfId="136"/>
    <cellStyle name="Excel Built-in Currency [0]" xfId="108"/>
    <cellStyle name="Excel Built-in Percent" xfId="53"/>
    <cellStyle name="Explanatory Text 2" xfId="54"/>
    <cellStyle name="F2" xfId="55"/>
    <cellStyle name="F2 2" xfId="137"/>
    <cellStyle name="F2 2 2" xfId="138"/>
    <cellStyle name="F2 2_Cálculo" xfId="139"/>
    <cellStyle name="F2 3" xfId="140"/>
    <cellStyle name="F2 3 2" xfId="141"/>
    <cellStyle name="F2 3 2 2" xfId="142"/>
    <cellStyle name="F2 3 2_Cálculo" xfId="143"/>
    <cellStyle name="F2 4" xfId="144"/>
    <cellStyle name="F2 5" xfId="145"/>
    <cellStyle name="F2_Cálculo" xfId="146"/>
    <cellStyle name="F3" xfId="56"/>
    <cellStyle name="F3 2" xfId="147"/>
    <cellStyle name="F3 2 2" xfId="148"/>
    <cellStyle name="F3 2_Cálculo" xfId="149"/>
    <cellStyle name="F3 3" xfId="150"/>
    <cellStyle name="F3 3 2" xfId="151"/>
    <cellStyle name="F3 3 2 2" xfId="152"/>
    <cellStyle name="F3 3 2_Cálculo" xfId="153"/>
    <cellStyle name="F3 4" xfId="154"/>
    <cellStyle name="F3 5" xfId="155"/>
    <cellStyle name="F3_Cálculo" xfId="156"/>
    <cellStyle name="F4" xfId="57"/>
    <cellStyle name="F4 2" xfId="157"/>
    <cellStyle name="F4 2 2" xfId="158"/>
    <cellStyle name="F4 2_Cálculo" xfId="159"/>
    <cellStyle name="F4 3" xfId="160"/>
    <cellStyle name="F4 3 2" xfId="161"/>
    <cellStyle name="F4 3 2 2" xfId="162"/>
    <cellStyle name="F4 3 2_Cálculo" xfId="163"/>
    <cellStyle name="F4 4" xfId="164"/>
    <cellStyle name="F4 5" xfId="165"/>
    <cellStyle name="F4_Cálculo" xfId="166"/>
    <cellStyle name="F5" xfId="58"/>
    <cellStyle name="F5 2" xfId="167"/>
    <cellStyle name="F5 2 2" xfId="168"/>
    <cellStyle name="F5 2_Cálculo" xfId="169"/>
    <cellStyle name="F5 3" xfId="170"/>
    <cellStyle name="F5 3 2" xfId="171"/>
    <cellStyle name="F5 3 2 2" xfId="172"/>
    <cellStyle name="F5 3 2_Cálculo" xfId="173"/>
    <cellStyle name="F5 4" xfId="174"/>
    <cellStyle name="F5 5" xfId="175"/>
    <cellStyle name="F5_Cálculo" xfId="176"/>
    <cellStyle name="F6" xfId="59"/>
    <cellStyle name="F6 2" xfId="177"/>
    <cellStyle name="F6 2 2" xfId="178"/>
    <cellStyle name="F6 2_Cálculo" xfId="179"/>
    <cellStyle name="F6 3" xfId="180"/>
    <cellStyle name="F6 3 2" xfId="181"/>
    <cellStyle name="F6 3 2 2" xfId="182"/>
    <cellStyle name="F6 3 2_Cálculo" xfId="183"/>
    <cellStyle name="F6 4" xfId="184"/>
    <cellStyle name="F6 5" xfId="185"/>
    <cellStyle name="F6_Cálculo" xfId="186"/>
    <cellStyle name="F7" xfId="60"/>
    <cellStyle name="F7 2" xfId="187"/>
    <cellStyle name="F7 2 2" xfId="188"/>
    <cellStyle name="F7 2_Cálculo" xfId="189"/>
    <cellStyle name="F7 3" xfId="190"/>
    <cellStyle name="F7 3 2" xfId="191"/>
    <cellStyle name="F7 3 2 2" xfId="192"/>
    <cellStyle name="F7 3 2_Cálculo" xfId="193"/>
    <cellStyle name="F7 4" xfId="194"/>
    <cellStyle name="F7 5" xfId="195"/>
    <cellStyle name="F7_Cálculo" xfId="196"/>
    <cellStyle name="F8" xfId="61"/>
    <cellStyle name="F8 2" xfId="197"/>
    <cellStyle name="F8 2 2" xfId="198"/>
    <cellStyle name="F8 2_Cálculo" xfId="199"/>
    <cellStyle name="F8 3" xfId="200"/>
    <cellStyle name="F8 3 2" xfId="201"/>
    <cellStyle name="F8 3 2 2" xfId="202"/>
    <cellStyle name="F8 3 2_Cálculo" xfId="203"/>
    <cellStyle name="F8 4" xfId="204"/>
    <cellStyle name="F8 5" xfId="205"/>
    <cellStyle name="F8_Cálculo" xfId="206"/>
    <cellStyle name="Good 2" xfId="62"/>
    <cellStyle name="Heading 1 2" xfId="63"/>
    <cellStyle name="Heading 2 2" xfId="64"/>
    <cellStyle name="Heading 3 2" xfId="65"/>
    <cellStyle name="Heading 4 2" xfId="66"/>
    <cellStyle name="Input 2" xfId="67"/>
    <cellStyle name="Linked Cell 2" xfId="68"/>
    <cellStyle name="Millares [0] 2" xfId="69"/>
    <cellStyle name="Millares 10" xfId="493"/>
    <cellStyle name="Millares 10 2" xfId="494"/>
    <cellStyle name="Millares 12" xfId="495"/>
    <cellStyle name="Millares 12 2" xfId="496"/>
    <cellStyle name="Millares 14" xfId="497"/>
    <cellStyle name="Millares 14 2" xfId="498"/>
    <cellStyle name="Millares 2" xfId="5"/>
    <cellStyle name="Millares 2 2" xfId="6"/>
    <cellStyle name="Millares 2 2 10" xfId="499"/>
    <cellStyle name="Millares 2 2 11" xfId="500"/>
    <cellStyle name="Millares 2 2 12" xfId="501"/>
    <cellStyle name="Millares 2 2 13" xfId="502"/>
    <cellStyle name="Millares 2 2 14" xfId="503"/>
    <cellStyle name="Millares 2 2 15" xfId="504"/>
    <cellStyle name="Millares 2 2 16" xfId="505"/>
    <cellStyle name="Millares 2 2 17" xfId="506"/>
    <cellStyle name="Millares 2 2 18" xfId="507"/>
    <cellStyle name="Millares 2 2 19" xfId="508"/>
    <cellStyle name="Millares 2 2 2" xfId="70"/>
    <cellStyle name="Millares 2 2 20" xfId="509"/>
    <cellStyle name="Millares 2 2 21" xfId="510"/>
    <cellStyle name="Millares 2 2 22" xfId="511"/>
    <cellStyle name="Millares 2 2 23" xfId="512"/>
    <cellStyle name="Millares 2 2 24" xfId="513"/>
    <cellStyle name="Millares 2 2 25" xfId="514"/>
    <cellStyle name="Millares 2 2 26" xfId="515"/>
    <cellStyle name="Millares 2 2 27" xfId="516"/>
    <cellStyle name="Millares 2 2 3" xfId="71"/>
    <cellStyle name="Millares 2 2 4" xfId="517"/>
    <cellStyle name="Millares 2 2 5" xfId="518"/>
    <cellStyle name="Millares 2 2 6" xfId="519"/>
    <cellStyle name="Millares 2 2 7" xfId="520"/>
    <cellStyle name="Millares 2 2 8" xfId="521"/>
    <cellStyle name="Millares 2 2 9" xfId="522"/>
    <cellStyle name="Millares 2 3" xfId="72"/>
    <cellStyle name="Millares 2 4" xfId="109"/>
    <cellStyle name="Millares 2 5" xfId="110"/>
    <cellStyle name="Millares 3" xfId="7"/>
    <cellStyle name="Millares 3 10" xfId="523"/>
    <cellStyle name="Millares 3 11" xfId="524"/>
    <cellStyle name="Millares 3 12" xfId="525"/>
    <cellStyle name="Millares 3 13" xfId="526"/>
    <cellStyle name="Millares 3 14" xfId="527"/>
    <cellStyle name="Millares 3 15" xfId="528"/>
    <cellStyle name="Millares 3 16" xfId="529"/>
    <cellStyle name="Millares 3 17" xfId="530"/>
    <cellStyle name="Millares 3 18" xfId="531"/>
    <cellStyle name="Millares 3 19" xfId="532"/>
    <cellStyle name="Millares 3 2" xfId="73"/>
    <cellStyle name="Millares 3 20" xfId="533"/>
    <cellStyle name="Millares 3 21" xfId="534"/>
    <cellStyle name="Millares 3 22" xfId="535"/>
    <cellStyle name="Millares 3 23" xfId="536"/>
    <cellStyle name="Millares 3 24" xfId="537"/>
    <cellStyle name="Millares 3 25" xfId="538"/>
    <cellStyle name="Millares 3 26" xfId="539"/>
    <cellStyle name="Millares 3 27" xfId="540"/>
    <cellStyle name="Millares 3 3" xfId="111"/>
    <cellStyle name="Millares 3 4" xfId="541"/>
    <cellStyle name="Millares 3 5" xfId="542"/>
    <cellStyle name="Millares 3 6" xfId="543"/>
    <cellStyle name="Millares 3 7" xfId="544"/>
    <cellStyle name="Millares 3 8" xfId="545"/>
    <cellStyle name="Millares 3 9" xfId="546"/>
    <cellStyle name="Millares 4" xfId="74"/>
    <cellStyle name="Millares 4 2" xfId="75"/>
    <cellStyle name="Millares 5" xfId="76"/>
    <cellStyle name="Millares 6" xfId="112"/>
    <cellStyle name="Millares 7" xfId="685"/>
    <cellStyle name="Millares 8" xfId="547"/>
    <cellStyle name="Millares 8 2" xfId="548"/>
    <cellStyle name="Moneda [0] 2" xfId="8"/>
    <cellStyle name="Moneda [0] 2 2" xfId="9"/>
    <cellStyle name="Moneda [0] 2 2 10" xfId="549"/>
    <cellStyle name="Moneda [0] 2 2 11" xfId="550"/>
    <cellStyle name="Moneda [0] 2 2 12" xfId="551"/>
    <cellStyle name="Moneda [0] 2 2 13" xfId="552"/>
    <cellStyle name="Moneda [0] 2 2 14" xfId="553"/>
    <cellStyle name="Moneda [0] 2 2 15" xfId="554"/>
    <cellStyle name="Moneda [0] 2 2 16" xfId="555"/>
    <cellStyle name="Moneda [0] 2 2 17" xfId="556"/>
    <cellStyle name="Moneda [0] 2 2 18" xfId="557"/>
    <cellStyle name="Moneda [0] 2 2 19" xfId="558"/>
    <cellStyle name="Moneda [0] 2 2 2" xfId="77"/>
    <cellStyle name="Moneda [0] 2 2 20" xfId="559"/>
    <cellStyle name="Moneda [0] 2 2 21" xfId="560"/>
    <cellStyle name="Moneda [0] 2 2 22" xfId="561"/>
    <cellStyle name="Moneda [0] 2 2 23" xfId="562"/>
    <cellStyle name="Moneda [0] 2 2 24" xfId="563"/>
    <cellStyle name="Moneda [0] 2 2 25" xfId="564"/>
    <cellStyle name="Moneda [0] 2 2 26" xfId="565"/>
    <cellStyle name="Moneda [0] 2 2 27" xfId="566"/>
    <cellStyle name="Moneda [0] 2 2 3" xfId="113"/>
    <cellStyle name="Moneda [0] 2 2 4" xfId="567"/>
    <cellStyle name="Moneda [0] 2 2 5" xfId="568"/>
    <cellStyle name="Moneda [0] 2 2 6" xfId="569"/>
    <cellStyle name="Moneda [0] 2 2 7" xfId="570"/>
    <cellStyle name="Moneda [0] 2 2 8" xfId="571"/>
    <cellStyle name="Moneda [0] 2 2 9" xfId="572"/>
    <cellStyle name="Moneda [0] 2 3" xfId="78"/>
    <cellStyle name="Moneda [0] 2 4" xfId="114"/>
    <cellStyle name="Moneda [0] 3" xfId="10"/>
    <cellStyle name="Moneda [0] 3 10" xfId="573"/>
    <cellStyle name="Moneda [0] 3 11" xfId="574"/>
    <cellStyle name="Moneda [0] 3 12" xfId="575"/>
    <cellStyle name="Moneda [0] 3 13" xfId="576"/>
    <cellStyle name="Moneda [0] 3 14" xfId="577"/>
    <cellStyle name="Moneda [0] 3 15" xfId="578"/>
    <cellStyle name="Moneda [0] 3 16" xfId="579"/>
    <cellStyle name="Moneda [0] 3 17" xfId="580"/>
    <cellStyle name="Moneda [0] 3 18" xfId="581"/>
    <cellStyle name="Moneda [0] 3 19" xfId="582"/>
    <cellStyle name="Moneda [0] 3 2" xfId="79"/>
    <cellStyle name="Moneda [0] 3 20" xfId="583"/>
    <cellStyle name="Moneda [0] 3 21" xfId="584"/>
    <cellStyle name="Moneda [0] 3 22" xfId="585"/>
    <cellStyle name="Moneda [0] 3 23" xfId="586"/>
    <cellStyle name="Moneda [0] 3 24" xfId="587"/>
    <cellStyle name="Moneda [0] 3 25" xfId="588"/>
    <cellStyle name="Moneda [0] 3 26" xfId="589"/>
    <cellStyle name="Moneda [0] 3 27" xfId="590"/>
    <cellStyle name="Moneda [0] 3 3" xfId="115"/>
    <cellStyle name="Moneda [0] 3 4" xfId="591"/>
    <cellStyle name="Moneda [0] 3 5" xfId="592"/>
    <cellStyle name="Moneda [0] 3 6" xfId="593"/>
    <cellStyle name="Moneda [0] 3 7" xfId="594"/>
    <cellStyle name="Moneda [0] 3 8" xfId="595"/>
    <cellStyle name="Moneda [0] 3 9" xfId="596"/>
    <cellStyle name="Moneda [0] 4" xfId="80"/>
    <cellStyle name="Neutral 2" xfId="81"/>
    <cellStyle name="Normal" xfId="0" builtinId="0"/>
    <cellStyle name="Normal 10" xfId="82"/>
    <cellStyle name="Normal 10 2" xfId="207"/>
    <cellStyle name="Normal 10 2 2" xfId="208"/>
    <cellStyle name="Normal 10 3" xfId="209"/>
    <cellStyle name="Normal 10 4" xfId="210"/>
    <cellStyle name="Normal 100" xfId="211"/>
    <cellStyle name="Normal 101" xfId="212"/>
    <cellStyle name="Normal 102" xfId="213"/>
    <cellStyle name="Normal 103" xfId="214"/>
    <cellStyle name="Normal 104" xfId="215"/>
    <cellStyle name="Normal 104 2" xfId="216"/>
    <cellStyle name="Normal 105" xfId="684"/>
    <cellStyle name="Normal 11" xfId="83"/>
    <cellStyle name="Normal 11 2" xfId="217"/>
    <cellStyle name="Normal 11 2 2" xfId="218"/>
    <cellStyle name="Normal 11 3" xfId="219"/>
    <cellStyle name="Normal 11 4" xfId="220"/>
    <cellStyle name="Normal 12" xfId="107"/>
    <cellStyle name="Normal 12 2" xfId="221"/>
    <cellStyle name="Normal 12 2 2" xfId="222"/>
    <cellStyle name="Normal 12 3" xfId="223"/>
    <cellStyle name="Normal 12 4" xfId="224"/>
    <cellStyle name="Normal 13" xfId="225"/>
    <cellStyle name="Normal 13 2" xfId="226"/>
    <cellStyle name="Normal 13 2 2" xfId="227"/>
    <cellStyle name="Normal 13 3" xfId="228"/>
    <cellStyle name="Normal 13 4" xfId="229"/>
    <cellStyle name="Normal 14" xfId="230"/>
    <cellStyle name="Normal 14 2" xfId="231"/>
    <cellStyle name="Normal 14 2 2" xfId="232"/>
    <cellStyle name="Normal 14 3" xfId="233"/>
    <cellStyle name="Normal 14 4" xfId="234"/>
    <cellStyle name="Normal 15" xfId="235"/>
    <cellStyle name="Normal 15 2" xfId="236"/>
    <cellStyle name="Normal 15 2 2" xfId="237"/>
    <cellStyle name="Normal 15 3" xfId="238"/>
    <cellStyle name="Normal 15 4" xfId="239"/>
    <cellStyle name="Normal 16" xfId="240"/>
    <cellStyle name="Normal 16 2" xfId="241"/>
    <cellStyle name="Normal 16 2 2" xfId="242"/>
    <cellStyle name="Normal 16 3" xfId="243"/>
    <cellStyle name="Normal 16 4" xfId="244"/>
    <cellStyle name="Normal 17" xfId="245"/>
    <cellStyle name="Normal 17 2" xfId="246"/>
    <cellStyle name="Normal 17 2 2" xfId="247"/>
    <cellStyle name="Normal 17 3" xfId="248"/>
    <cellStyle name="Normal 17 4" xfId="249"/>
    <cellStyle name="Normal 18" xfId="250"/>
    <cellStyle name="Normal 18 2" xfId="251"/>
    <cellStyle name="Normal 18 2 2" xfId="252"/>
    <cellStyle name="Normal 18 2_Cálculo" xfId="253"/>
    <cellStyle name="Normal 18 3" xfId="254"/>
    <cellStyle name="Normal 18 3 2" xfId="255"/>
    <cellStyle name="Normal 18 4" xfId="256"/>
    <cellStyle name="Normal 18_Cálculo" xfId="257"/>
    <cellStyle name="Normal 19" xfId="258"/>
    <cellStyle name="Normal 19 2" xfId="259"/>
    <cellStyle name="Normal 19 3" xfId="260"/>
    <cellStyle name="Normal 2" xfId="11"/>
    <cellStyle name="Normal 2 10" xfId="261"/>
    <cellStyle name="Normal 2 10 2" xfId="262"/>
    <cellStyle name="Normal 2 10_Cálculo" xfId="263"/>
    <cellStyle name="Normal 2 11" xfId="264"/>
    <cellStyle name="Normal 2 12" xfId="265"/>
    <cellStyle name="Normal 2 13" xfId="597"/>
    <cellStyle name="Normal 2 14" xfId="598"/>
    <cellStyle name="Normal 2 15" xfId="599"/>
    <cellStyle name="Normal 2 16" xfId="600"/>
    <cellStyle name="Normal 2 17" xfId="601"/>
    <cellStyle name="Normal 2 18" xfId="602"/>
    <cellStyle name="Normal 2 19" xfId="603"/>
    <cellStyle name="Normal 2 2" xfId="84"/>
    <cellStyle name="Normal 2 2 2" xfId="12"/>
    <cellStyle name="Normal 2 2 3" xfId="266"/>
    <cellStyle name="Normal 2 2 3 2" xfId="267"/>
    <cellStyle name="Normal 2 2_Bienes de Uso" xfId="268"/>
    <cellStyle name="Normal 2 20" xfId="604"/>
    <cellStyle name="Normal 2 21" xfId="605"/>
    <cellStyle name="Normal 2 22" xfId="606"/>
    <cellStyle name="Normal 2 23" xfId="607"/>
    <cellStyle name="Normal 2 24" xfId="608"/>
    <cellStyle name="Normal 2 25" xfId="609"/>
    <cellStyle name="Normal 2 26" xfId="610"/>
    <cellStyle name="Normal 2 27" xfId="611"/>
    <cellStyle name="Normal 2 3" xfId="85"/>
    <cellStyle name="Normal 2 3 2" xfId="269"/>
    <cellStyle name="Normal 2 4" xfId="86"/>
    <cellStyle name="Normal 2 4 2" xfId="270"/>
    <cellStyle name="Normal 2 5" xfId="87"/>
    <cellStyle name="Normal 2 5 2" xfId="271"/>
    <cellStyle name="Normal 2 5_Cálculo" xfId="272"/>
    <cellStyle name="Normal 2 6" xfId="273"/>
    <cellStyle name="Normal 2 6 2" xfId="274"/>
    <cellStyle name="Normal 2 6_Cálculo" xfId="275"/>
    <cellStyle name="Normal 2 7" xfId="276"/>
    <cellStyle name="Normal 2 7 2" xfId="277"/>
    <cellStyle name="Normal 2 7_Cálculo" xfId="278"/>
    <cellStyle name="Normal 2 8" xfId="279"/>
    <cellStyle name="Normal 2 8 2" xfId="280"/>
    <cellStyle name="Normal 2 8_Cálculo" xfId="281"/>
    <cellStyle name="Normal 2 9" xfId="282"/>
    <cellStyle name="Normal 2 9 2" xfId="283"/>
    <cellStyle name="Normal 2 9_Cálculo" xfId="284"/>
    <cellStyle name="Normal 2_Bs de Uso" xfId="285"/>
    <cellStyle name="Normal 20" xfId="286"/>
    <cellStyle name="Normal 20 2" xfId="287"/>
    <cellStyle name="Normal 20 2 2" xfId="288"/>
    <cellStyle name="Normal 20 3" xfId="289"/>
    <cellStyle name="Normal 20_Cálculo" xfId="290"/>
    <cellStyle name="Normal 21" xfId="291"/>
    <cellStyle name="Normal 21 2" xfId="292"/>
    <cellStyle name="Normal 21 2 2" xfId="293"/>
    <cellStyle name="Normal 21 3" xfId="294"/>
    <cellStyle name="Normal 21_Cálculo" xfId="295"/>
    <cellStyle name="Normal 22" xfId="296"/>
    <cellStyle name="Normal 22 2" xfId="297"/>
    <cellStyle name="Normal 22 3" xfId="298"/>
    <cellStyle name="Normal 23" xfId="299"/>
    <cellStyle name="Normal 23 2" xfId="300"/>
    <cellStyle name="Normal 23 3" xfId="301"/>
    <cellStyle name="Normal 24" xfId="302"/>
    <cellStyle name="Normal 24 2" xfId="303"/>
    <cellStyle name="Normal 24 3" xfId="304"/>
    <cellStyle name="Normal 25" xfId="305"/>
    <cellStyle name="Normal 25 2" xfId="306"/>
    <cellStyle name="Normal 25 3" xfId="307"/>
    <cellStyle name="Normal 26" xfId="308"/>
    <cellStyle name="Normal 26 2" xfId="309"/>
    <cellStyle name="Normal 26 3" xfId="310"/>
    <cellStyle name="Normal 27" xfId="311"/>
    <cellStyle name="Normal 27 2" xfId="312"/>
    <cellStyle name="Normal 27 3" xfId="313"/>
    <cellStyle name="Normal 28" xfId="314"/>
    <cellStyle name="Normal 28 2" xfId="315"/>
    <cellStyle name="Normal 28 3" xfId="316"/>
    <cellStyle name="Normal 29" xfId="317"/>
    <cellStyle name="Normal 29 2" xfId="318"/>
    <cellStyle name="Normal 29 3" xfId="319"/>
    <cellStyle name="Normal 3" xfId="13"/>
    <cellStyle name="Normal 3 2" xfId="88"/>
    <cellStyle name="Normal 3 2 2" xfId="320"/>
    <cellStyle name="Normal 3 2 3" xfId="321"/>
    <cellStyle name="Normal 3 2 3 2" xfId="322"/>
    <cellStyle name="Normal 3 2_Bienes de Uso" xfId="323"/>
    <cellStyle name="Normal 3 3" xfId="89"/>
    <cellStyle name="Normal 3 3 2" xfId="324"/>
    <cellStyle name="Normal 3 4" xfId="325"/>
    <cellStyle name="Normal 3 4 2" xfId="326"/>
    <cellStyle name="Normal 3 5" xfId="327"/>
    <cellStyle name="Normal 3 6" xfId="328"/>
    <cellStyle name="Normal 3_Bs de Uso" xfId="329"/>
    <cellStyle name="Normal 30" xfId="330"/>
    <cellStyle name="Normal 30 2" xfId="331"/>
    <cellStyle name="Normal 30 3" xfId="332"/>
    <cellStyle name="Normal 31" xfId="333"/>
    <cellStyle name="Normal 31 2" xfId="334"/>
    <cellStyle name="Normal 31 3" xfId="335"/>
    <cellStyle name="Normal 32" xfId="336"/>
    <cellStyle name="Normal 32 2" xfId="337"/>
    <cellStyle name="Normal 32 3" xfId="338"/>
    <cellStyle name="Normal 33" xfId="339"/>
    <cellStyle name="Normal 33 2" xfId="340"/>
    <cellStyle name="Normal 33 3" xfId="341"/>
    <cellStyle name="Normal 34" xfId="342"/>
    <cellStyle name="Normal 34 2" xfId="343"/>
    <cellStyle name="Normal 34 3" xfId="344"/>
    <cellStyle name="Normal 35" xfId="345"/>
    <cellStyle name="Normal 35 2" xfId="346"/>
    <cellStyle name="Normal 35 3" xfId="347"/>
    <cellStyle name="Normal 36" xfId="348"/>
    <cellStyle name="Normal 36 2" xfId="349"/>
    <cellStyle name="Normal 36 3" xfId="350"/>
    <cellStyle name="Normal 37" xfId="351"/>
    <cellStyle name="Normal 37 2" xfId="352"/>
    <cellStyle name="Normal 37 3" xfId="353"/>
    <cellStyle name="Normal 38" xfId="354"/>
    <cellStyle name="Normal 38 2" xfId="355"/>
    <cellStyle name="Normal 38 3" xfId="356"/>
    <cellStyle name="Normal 39" xfId="357"/>
    <cellStyle name="Normal 39 2" xfId="358"/>
    <cellStyle name="Normal 39 3" xfId="359"/>
    <cellStyle name="Normal 4" xfId="14"/>
    <cellStyle name="Normal 4 2" xfId="90"/>
    <cellStyle name="Normal 4 2 2" xfId="360"/>
    <cellStyle name="Normal 4 2 3" xfId="361"/>
    <cellStyle name="Normal 4 3" xfId="91"/>
    <cellStyle name="Normal 4 4" xfId="362"/>
    <cellStyle name="Normal 4 5" xfId="363"/>
    <cellStyle name="Normal 4_Bs de Uso" xfId="364"/>
    <cellStyle name="Normal 40" xfId="365"/>
    <cellStyle name="Normal 40 2" xfId="366"/>
    <cellStyle name="Normal 40 3" xfId="367"/>
    <cellStyle name="Normal 41" xfId="368"/>
    <cellStyle name="Normal 41 2" xfId="369"/>
    <cellStyle name="Normal 41 3" xfId="370"/>
    <cellStyle name="Normal 42" xfId="371"/>
    <cellStyle name="Normal 42 2" xfId="372"/>
    <cellStyle name="Normal 42 3" xfId="373"/>
    <cellStyle name="Normal 43" xfId="374"/>
    <cellStyle name="Normal 43 2" xfId="375"/>
    <cellStyle name="Normal 43 3" xfId="376"/>
    <cellStyle name="Normal 44" xfId="377"/>
    <cellStyle name="Normal 44 2" xfId="378"/>
    <cellStyle name="Normal 44 3" xfId="379"/>
    <cellStyle name="Normal 45" xfId="380"/>
    <cellStyle name="Normal 45 2" xfId="381"/>
    <cellStyle name="Normal 45 3" xfId="382"/>
    <cellStyle name="Normal 46" xfId="383"/>
    <cellStyle name="Normal 46 2" xfId="384"/>
    <cellStyle name="Normal 46 3" xfId="385"/>
    <cellStyle name="Normal 47" xfId="386"/>
    <cellStyle name="Normal 47 2" xfId="387"/>
    <cellStyle name="Normal 47 3" xfId="388"/>
    <cellStyle name="Normal 48" xfId="389"/>
    <cellStyle name="Normal 48 2" xfId="390"/>
    <cellStyle name="Normal 48 3" xfId="391"/>
    <cellStyle name="Normal 49" xfId="392"/>
    <cellStyle name="Normal 49 2" xfId="393"/>
    <cellStyle name="Normal 49 3" xfId="394"/>
    <cellStyle name="Normal 5" xfId="19"/>
    <cellStyle name="Normal 5 2" xfId="395"/>
    <cellStyle name="Normal 5 2 2" xfId="396"/>
    <cellStyle name="Normal 5 3" xfId="397"/>
    <cellStyle name="Normal 5 4" xfId="398"/>
    <cellStyle name="Normal 50" xfId="399"/>
    <cellStyle name="Normal 50 2" xfId="400"/>
    <cellStyle name="Normal 50 3" xfId="401"/>
    <cellStyle name="Normal 51" xfId="402"/>
    <cellStyle name="Normal 51 2" xfId="403"/>
    <cellStyle name="Normal 51 3" xfId="404"/>
    <cellStyle name="Normal 52" xfId="405"/>
    <cellStyle name="Normal 52 2" xfId="406"/>
    <cellStyle name="Normal 52 3" xfId="407"/>
    <cellStyle name="Normal 53" xfId="408"/>
    <cellStyle name="Normal 54" xfId="409"/>
    <cellStyle name="Normal 55" xfId="410"/>
    <cellStyle name="Normal 56" xfId="411"/>
    <cellStyle name="Normal 57" xfId="412"/>
    <cellStyle name="Normal 58" xfId="413"/>
    <cellStyle name="Normal 59" xfId="414"/>
    <cellStyle name="Normal 6" xfId="15"/>
    <cellStyle name="Normal 6 2" xfId="415"/>
    <cellStyle name="Normal 6 2 2" xfId="416"/>
    <cellStyle name="Normal 6 3" xfId="417"/>
    <cellStyle name="Normal 6 4" xfId="418"/>
    <cellStyle name="Normal 6_Bs de Uso" xfId="419"/>
    <cellStyle name="Normal 60" xfId="420"/>
    <cellStyle name="Normal 61" xfId="421"/>
    <cellStyle name="Normal 62" xfId="422"/>
    <cellStyle name="Normal 63" xfId="423"/>
    <cellStyle name="Normal 64" xfId="424"/>
    <cellStyle name="Normal 65" xfId="425"/>
    <cellStyle name="Normal 66" xfId="426"/>
    <cellStyle name="Normal 67" xfId="427"/>
    <cellStyle name="Normal 68" xfId="428"/>
    <cellStyle name="Normal 68 2" xfId="429"/>
    <cellStyle name="Normal 68_Cálculo" xfId="430"/>
    <cellStyle name="Normal 69" xfId="431"/>
    <cellStyle name="Normal 69 2" xfId="432"/>
    <cellStyle name="Normal 69_Cálculo" xfId="433"/>
    <cellStyle name="Normal 7" xfId="92"/>
    <cellStyle name="Normal 7 2" xfId="434"/>
    <cellStyle name="Normal 7 2 2" xfId="435"/>
    <cellStyle name="Normal 7 3" xfId="436"/>
    <cellStyle name="Normal 7 4" xfId="437"/>
    <cellStyle name="Normal 70" xfId="438"/>
    <cellStyle name="Normal 70 2" xfId="439"/>
    <cellStyle name="Normal 70_Cálculo" xfId="440"/>
    <cellStyle name="Normal 71" xfId="441"/>
    <cellStyle name="Normal 71 2" xfId="442"/>
    <cellStyle name="Normal 71_Cálculo" xfId="443"/>
    <cellStyle name="Normal 72" xfId="444"/>
    <cellStyle name="Normal 73" xfId="445"/>
    <cellStyle name="Normal 74" xfId="446"/>
    <cellStyle name="Normal 75" xfId="447"/>
    <cellStyle name="Normal 76" xfId="448"/>
    <cellStyle name="Normal 77" xfId="449"/>
    <cellStyle name="Normal 78" xfId="450"/>
    <cellStyle name="Normal 79" xfId="451"/>
    <cellStyle name="Normal 8" xfId="93"/>
    <cellStyle name="Normal 8 2" xfId="452"/>
    <cellStyle name="Normal 8 2 2" xfId="453"/>
    <cellStyle name="Normal 8 3" xfId="454"/>
    <cellStyle name="Normal 8 4" xfId="455"/>
    <cellStyle name="Normal 80" xfId="456"/>
    <cellStyle name="Normal 81" xfId="457"/>
    <cellStyle name="Normal 82" xfId="458"/>
    <cellStyle name="Normal 83" xfId="459"/>
    <cellStyle name="Normal 84" xfId="460"/>
    <cellStyle name="Normal 85" xfId="461"/>
    <cellStyle name="Normal 86" xfId="462"/>
    <cellStyle name="Normal 87" xfId="463"/>
    <cellStyle name="Normal 88" xfId="464"/>
    <cellStyle name="Normal 89" xfId="465"/>
    <cellStyle name="Normal 9" xfId="94"/>
    <cellStyle name="Normal 9 2" xfId="466"/>
    <cellStyle name="Normal 9 2 2" xfId="467"/>
    <cellStyle name="Normal 9 3" xfId="468"/>
    <cellStyle name="Normal 9 4" xfId="469"/>
    <cellStyle name="Normal 90" xfId="470"/>
    <cellStyle name="Normal 91" xfId="471"/>
    <cellStyle name="Normal 92" xfId="472"/>
    <cellStyle name="Normal 93" xfId="473"/>
    <cellStyle name="Normal 94" xfId="474"/>
    <cellStyle name="Normal 95" xfId="475"/>
    <cellStyle name="Normal 96" xfId="476"/>
    <cellStyle name="Normal 97" xfId="477"/>
    <cellStyle name="Normal 98" xfId="478"/>
    <cellStyle name="Normal 99" xfId="479"/>
    <cellStyle name="Note 2" xfId="95"/>
    <cellStyle name="Output 2" xfId="96"/>
    <cellStyle name="Percent 2" xfId="97"/>
    <cellStyle name="Percent 2 2" xfId="491"/>
    <cellStyle name="Percent 2 2 2" xfId="492"/>
    <cellStyle name="Percent 3" xfId="98"/>
    <cellStyle name="Percent 3 2" xfId="99"/>
    <cellStyle name="Porcentaje 2" xfId="16"/>
    <cellStyle name="Porcentaje 2 10" xfId="612"/>
    <cellStyle name="Porcentaje 2 11" xfId="613"/>
    <cellStyle name="Porcentaje 2 12" xfId="614"/>
    <cellStyle name="Porcentaje 2 13" xfId="615"/>
    <cellStyle name="Porcentaje 2 14" xfId="616"/>
    <cellStyle name="Porcentaje 2 15" xfId="617"/>
    <cellStyle name="Porcentaje 2 16" xfId="618"/>
    <cellStyle name="Porcentaje 2 17" xfId="619"/>
    <cellStyle name="Porcentaje 2 18" xfId="620"/>
    <cellStyle name="Porcentaje 2 19" xfId="621"/>
    <cellStyle name="Porcentaje 2 2" xfId="17"/>
    <cellStyle name="Porcentaje 2 2 10" xfId="622"/>
    <cellStyle name="Porcentaje 2 2 11" xfId="623"/>
    <cellStyle name="Porcentaje 2 2 12" xfId="624"/>
    <cellStyle name="Porcentaje 2 2 13" xfId="625"/>
    <cellStyle name="Porcentaje 2 2 14" xfId="626"/>
    <cellStyle name="Porcentaje 2 2 15" xfId="627"/>
    <cellStyle name="Porcentaje 2 2 16" xfId="628"/>
    <cellStyle name="Porcentaje 2 2 17" xfId="629"/>
    <cellStyle name="Porcentaje 2 2 18" xfId="630"/>
    <cellStyle name="Porcentaje 2 2 19" xfId="631"/>
    <cellStyle name="Porcentaje 2 2 2" xfId="100"/>
    <cellStyle name="Porcentaje 2 2 20" xfId="632"/>
    <cellStyle name="Porcentaje 2 2 21" xfId="633"/>
    <cellStyle name="Porcentaje 2 2 22" xfId="634"/>
    <cellStyle name="Porcentaje 2 2 23" xfId="635"/>
    <cellStyle name="Porcentaje 2 2 24" xfId="636"/>
    <cellStyle name="Porcentaje 2 2 25" xfId="637"/>
    <cellStyle name="Porcentaje 2 2 26" xfId="638"/>
    <cellStyle name="Porcentaje 2 2 27" xfId="639"/>
    <cellStyle name="Porcentaje 2 2 3" xfId="480"/>
    <cellStyle name="Porcentaje 2 2 4" xfId="640"/>
    <cellStyle name="Porcentaje 2 2 5" xfId="641"/>
    <cellStyle name="Porcentaje 2 2 6" xfId="642"/>
    <cellStyle name="Porcentaje 2 2 7" xfId="643"/>
    <cellStyle name="Porcentaje 2 2 8" xfId="644"/>
    <cellStyle name="Porcentaje 2 2 9" xfId="645"/>
    <cellStyle name="Porcentaje 2 20" xfId="646"/>
    <cellStyle name="Porcentaje 2 21" xfId="647"/>
    <cellStyle name="Porcentaje 2 22" xfId="648"/>
    <cellStyle name="Porcentaje 2 23" xfId="649"/>
    <cellStyle name="Porcentaje 2 24" xfId="650"/>
    <cellStyle name="Porcentaje 2 25" xfId="651"/>
    <cellStyle name="Porcentaje 2 26" xfId="652"/>
    <cellStyle name="Porcentaje 2 27" xfId="653"/>
    <cellStyle name="Porcentaje 2 28" xfId="654"/>
    <cellStyle name="Porcentaje 2 3" xfId="101"/>
    <cellStyle name="Porcentaje 2 4" xfId="481"/>
    <cellStyle name="Porcentaje 2 5" xfId="655"/>
    <cellStyle name="Porcentaje 2 6" xfId="656"/>
    <cellStyle name="Porcentaje 2 7" xfId="657"/>
    <cellStyle name="Porcentaje 2 8" xfId="658"/>
    <cellStyle name="Porcentaje 2 9" xfId="659"/>
    <cellStyle name="Porcentaje 3" xfId="18"/>
    <cellStyle name="Porcentaje 3 10" xfId="660"/>
    <cellStyle name="Porcentaje 3 11" xfId="661"/>
    <cellStyle name="Porcentaje 3 12" xfId="662"/>
    <cellStyle name="Porcentaje 3 13" xfId="663"/>
    <cellStyle name="Porcentaje 3 14" xfId="664"/>
    <cellStyle name="Porcentaje 3 15" xfId="665"/>
    <cellStyle name="Porcentaje 3 16" xfId="666"/>
    <cellStyle name="Porcentaje 3 17" xfId="667"/>
    <cellStyle name="Porcentaje 3 18" xfId="668"/>
    <cellStyle name="Porcentaje 3 19" xfId="669"/>
    <cellStyle name="Porcentaje 3 2" xfId="102"/>
    <cellStyle name="Porcentaje 3 20" xfId="670"/>
    <cellStyle name="Porcentaje 3 21" xfId="671"/>
    <cellStyle name="Porcentaje 3 22" xfId="672"/>
    <cellStyle name="Porcentaje 3 23" xfId="673"/>
    <cellStyle name="Porcentaje 3 24" xfId="674"/>
    <cellStyle name="Porcentaje 3 25" xfId="675"/>
    <cellStyle name="Porcentaje 3 26" xfId="676"/>
    <cellStyle name="Porcentaje 3 27" xfId="677"/>
    <cellStyle name="Porcentaje 3 3" xfId="482"/>
    <cellStyle name="Porcentaje 3 4" xfId="678"/>
    <cellStyle name="Porcentaje 3 5" xfId="679"/>
    <cellStyle name="Porcentaje 3 6" xfId="680"/>
    <cellStyle name="Porcentaje 3 7" xfId="681"/>
    <cellStyle name="Porcentaje 3 8" xfId="682"/>
    <cellStyle name="Porcentaje 3 9" xfId="683"/>
    <cellStyle name="Porcentaje 4" xfId="103"/>
    <cellStyle name="Porcentual 2" xfId="483"/>
    <cellStyle name="Title 2" xfId="104"/>
    <cellStyle name="Total 2" xfId="105"/>
    <cellStyle name="Warning Text 2" xfId="106"/>
  </cellStyles>
  <dxfs count="5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patternType="solid">
          <fgColor indexed="16"/>
          <bgColor indexed="10"/>
        </patternFill>
      </fill>
    </dxf>
    <dxf>
      <fill>
        <patternFill patternType="solid">
          <fgColor indexed="16"/>
          <bgColor indexed="10"/>
        </patternFill>
      </fill>
    </dxf>
    <dxf>
      <font>
        <b val="0"/>
        <condense val="0"/>
        <extend val="0"/>
        <color indexed="16"/>
      </font>
      <fill>
        <patternFill patternType="solid">
          <fgColor indexed="47"/>
          <bgColor indexed="45"/>
        </patternFill>
      </fill>
    </dxf>
    <dxf>
      <font>
        <b val="0"/>
        <condense val="0"/>
        <extend val="0"/>
        <color indexed="16"/>
      </font>
      <fill>
        <patternFill patternType="solid">
          <fgColor indexed="47"/>
          <bgColor indexed="45"/>
        </patternFill>
      </fill>
    </dxf>
    <dxf>
      <font>
        <b val="0"/>
        <condense val="0"/>
        <extend val="0"/>
        <color indexed="16"/>
      </font>
      <fill>
        <patternFill patternType="solid">
          <fgColor indexed="47"/>
          <bgColor indexed="45"/>
        </patternFill>
      </fill>
    </dxf>
    <dxf>
      <font>
        <b val="0"/>
        <condense val="0"/>
        <extend val="0"/>
        <color indexed="16"/>
      </font>
      <fill>
        <patternFill patternType="solid">
          <fgColor indexed="47"/>
          <bgColor indexed="45"/>
        </patternFill>
      </fill>
    </dxf>
    <dxf>
      <font>
        <b val="0"/>
        <condense val="0"/>
        <extend val="0"/>
        <color indexed="16"/>
      </font>
      <fill>
        <patternFill patternType="solid">
          <fgColor indexed="47"/>
          <bgColor indexed="45"/>
        </patternFill>
      </fill>
    </dxf>
    <dxf>
      <font>
        <b val="0"/>
        <condense val="0"/>
        <extend val="0"/>
        <color indexed="16"/>
      </font>
      <fill>
        <patternFill patternType="solid">
          <fgColor indexed="47"/>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63" Type="http://schemas.openxmlformats.org/officeDocument/2006/relationships/externalLink" Target="externalLinks/externalLink26.xml"/><Relationship Id="rId68" Type="http://schemas.openxmlformats.org/officeDocument/2006/relationships/externalLink" Target="externalLinks/externalLink31.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66" Type="http://schemas.openxmlformats.org/officeDocument/2006/relationships/externalLink" Target="externalLinks/externalLink29.xml"/><Relationship Id="rId74" Type="http://schemas.openxmlformats.org/officeDocument/2006/relationships/externalLink" Target="externalLinks/externalLink3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externalLink" Target="externalLinks/externalLink20.xml"/><Relationship Id="rId61"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externalLink" Target="externalLinks/externalLink23.xml"/><Relationship Id="rId65" Type="http://schemas.openxmlformats.org/officeDocument/2006/relationships/externalLink" Target="externalLinks/externalLink28.xml"/><Relationship Id="rId73" Type="http://schemas.openxmlformats.org/officeDocument/2006/relationships/externalLink" Target="externalLinks/externalLink36.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64" Type="http://schemas.openxmlformats.org/officeDocument/2006/relationships/externalLink" Target="externalLinks/externalLink27.xml"/><Relationship Id="rId69" Type="http://schemas.openxmlformats.org/officeDocument/2006/relationships/externalLink" Target="externalLinks/externalLink32.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4.xml"/><Relationship Id="rId72" Type="http://schemas.openxmlformats.org/officeDocument/2006/relationships/externalLink" Target="externalLinks/externalLink3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externalLink" Target="externalLinks/externalLink22.xml"/><Relationship Id="rId67" Type="http://schemas.openxmlformats.org/officeDocument/2006/relationships/externalLink" Target="externalLinks/externalLink30.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62" Type="http://schemas.openxmlformats.org/officeDocument/2006/relationships/externalLink" Target="externalLinks/externalLink25.xml"/><Relationship Id="rId70" Type="http://schemas.openxmlformats.org/officeDocument/2006/relationships/externalLink" Target="externalLinks/externalLink33.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pia%20de%20FormularioE-Version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borges/Downloads/IAMC/3567%20controlado%20ld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borges/Downloads/IAMC/4315%20controlado%20ld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borges/Downloads/IAMC/4810%20controlado%20ld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nborges/Downloads/IAMC/5012%20controlado%20n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PALDO%20NALDI/AAA%20BALANCES/BALANCES%202021/IAMC/5163%20controlado%20nb.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nborges/Downloads/IAMC/5315%20controlado%20nb.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nborges/Downloads/IAMC/5517%20controlado%20nb.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nborges/Downloads/IAMC/5810%20controlado%20nb.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nborges/Downloads/IAMC/6012%20controlado%20nb.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nborges/Downloads/IAMC/6062%20controlado%20n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FormularioE-Version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nborges/Downloads/IAMC/6416%20controlado%20n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nborges/Downloads/IAMC/6517%20corregido%20controlado%20nb.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nborges/Downloads/IAMC/6618%20controlado%20nb.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nborges/Downloads/IAMC/6769%20controlado%20nb.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nborges/Downloads/IAMC/6860%20controlado%20nb.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nborges/Downloads/IAMC/6985%20controlado%20ld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nborges/Downloads/IAMC/7062%20controlado%20ld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nborges/Downloads/IAMC/7214%20FINAL%20controlado%20ld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PALDO%20NALDI/AAA%20BALANCES/BALANCES%202021/IAMC/7264%20nuevo.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nborges/Downloads/IAMC/7466%20controlado%20ld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borges/Downloads/IAMC/0062%20controlado%20nb.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nborges/Downloads/IAMC/7553%20controlado%20ld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Base%20de%20datos%20-%20Econom&#237;a%20de%20la%20Salud\BALANCES%202021\IAMC\7618%20controlado%20ld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nborges/Downloads/IAMC/7719%20controlado%20ld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nborges/Downloads/IAMC/7810%20controlado%20ldr.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nborges/Downloads/IAMC/8012%20controlado%20ld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nborges/Downloads/IAMC/8163%20controlado%20ld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RESPALDO%20NALDI/AAA%20BALANCES/BALANCES%202021/IAMC/8264%20nuevo%20controlado%20ld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nborges/Downloads/IAMC/8264%20controlado%20ld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borges/Downloads/IAMC/0264%20controlado%20nb%20%20erro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borges/Downloads/IAMC/0769%20controlado%20n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borges/Downloads/IAMC/1062%20controlado%20n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borges/Downloads/IAMC/1163%20controlado%20n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borges/Downloads/IAMC/1210%20controlado%20ld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borges/Downloads/IAMC/2315%20controlado%20ld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mprobaciones"/>
      <sheetName val="InformacionGeneral"/>
      <sheetName val="NotaActivosPasivos"/>
      <sheetName val="EstadoSituacionFinanciera"/>
      <sheetName val="ERFuncion"/>
      <sheetName val="EstadoResultadosORI"/>
      <sheetName val="EstadoDeFlujos"/>
      <sheetName val="EstadoCambiosPatrimonio"/>
      <sheetName val="PropiedadPlantaEquipo"/>
      <sheetName val="ControlantesYControladas"/>
    </sheetNames>
    <sheetDataSet>
      <sheetData sheetId="0"/>
      <sheetData sheetId="1"/>
      <sheetData sheetId="2" refreshError="1">
        <row r="8">
          <cell r="L8" t="e">
            <v>#N/A</v>
          </cell>
        </row>
        <row r="9">
          <cell r="L9" t="e">
            <v>#N/A</v>
          </cell>
        </row>
        <row r="11">
          <cell r="L11" t="e">
            <v>#N/A</v>
          </cell>
        </row>
        <row r="12">
          <cell r="L12" t="e">
            <v>#N/A</v>
          </cell>
        </row>
      </sheetData>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96862925</v>
          </cell>
        </row>
        <row r="7">
          <cell r="D7">
            <v>0</v>
          </cell>
        </row>
        <row r="8">
          <cell r="D8">
            <v>39159114</v>
          </cell>
        </row>
        <row r="9">
          <cell r="D9">
            <v>0</v>
          </cell>
        </row>
        <row r="10">
          <cell r="D10">
            <v>2674634</v>
          </cell>
        </row>
        <row r="11">
          <cell r="D11">
            <v>0</v>
          </cell>
        </row>
        <row r="12">
          <cell r="D12">
            <v>0</v>
          </cell>
        </row>
        <row r="13">
          <cell r="D13">
            <v>0</v>
          </cell>
        </row>
        <row r="14">
          <cell r="D14">
            <v>16891659</v>
          </cell>
        </row>
        <row r="15">
          <cell r="D15">
            <v>6565303</v>
          </cell>
        </row>
        <row r="16">
          <cell r="D16">
            <v>0</v>
          </cell>
        </row>
        <row r="18">
          <cell r="D18">
            <v>0</v>
          </cell>
        </row>
        <row r="19">
          <cell r="D19">
            <v>162153635</v>
          </cell>
        </row>
        <row r="22">
          <cell r="D22">
            <v>13087615</v>
          </cell>
        </row>
        <row r="23">
          <cell r="D23">
            <v>0</v>
          </cell>
        </row>
        <row r="24">
          <cell r="D24">
            <v>0</v>
          </cell>
        </row>
        <row r="25">
          <cell r="D25">
            <v>0</v>
          </cell>
        </row>
        <row r="27">
          <cell r="D27">
            <v>0</v>
          </cell>
        </row>
        <row r="28">
          <cell r="D28">
            <v>12773452</v>
          </cell>
        </row>
        <row r="29">
          <cell r="D29">
            <v>6408308</v>
          </cell>
        </row>
        <row r="30">
          <cell r="D30">
            <v>0</v>
          </cell>
        </row>
        <row r="31">
          <cell r="D31">
            <v>0</v>
          </cell>
        </row>
        <row r="32">
          <cell r="D32">
            <v>0</v>
          </cell>
        </row>
        <row r="33">
          <cell r="D33">
            <v>32269375</v>
          </cell>
        </row>
      </sheetData>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SMI</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59166700</v>
          </cell>
        </row>
        <row r="7">
          <cell r="D7">
            <v>0</v>
          </cell>
        </row>
        <row r="8">
          <cell r="D8">
            <v>15320777</v>
          </cell>
        </row>
        <row r="9">
          <cell r="D9">
            <v>659476</v>
          </cell>
        </row>
        <row r="10">
          <cell r="D10">
            <v>2576737</v>
          </cell>
        </row>
        <row r="11">
          <cell r="D11">
            <v>1771150</v>
          </cell>
        </row>
        <row r="12">
          <cell r="D12">
            <v>0</v>
          </cell>
        </row>
        <row r="13">
          <cell r="D13">
            <v>0</v>
          </cell>
        </row>
        <row r="14">
          <cell r="D14">
            <v>6075338</v>
          </cell>
        </row>
        <row r="15">
          <cell r="D15">
            <v>152799</v>
          </cell>
        </row>
        <row r="16">
          <cell r="D16">
            <v>0</v>
          </cell>
        </row>
        <row r="17">
          <cell r="D17">
            <v>0</v>
          </cell>
        </row>
        <row r="18">
          <cell r="D18">
            <v>0</v>
          </cell>
        </row>
        <row r="19">
          <cell r="D19">
            <v>85722977</v>
          </cell>
        </row>
        <row r="22">
          <cell r="D22">
            <v>4822551</v>
          </cell>
        </row>
        <row r="23">
          <cell r="D23">
            <v>0</v>
          </cell>
        </row>
        <row r="24">
          <cell r="D24">
            <v>619937</v>
          </cell>
        </row>
        <row r="25">
          <cell r="D25">
            <v>0</v>
          </cell>
        </row>
        <row r="27">
          <cell r="D27">
            <v>0</v>
          </cell>
        </row>
        <row r="28">
          <cell r="D28">
            <v>0</v>
          </cell>
        </row>
        <row r="29">
          <cell r="D29">
            <v>0</v>
          </cell>
        </row>
        <row r="30">
          <cell r="D30">
            <v>1939505</v>
          </cell>
        </row>
        <row r="31">
          <cell r="D31">
            <v>0</v>
          </cell>
        </row>
        <row r="32">
          <cell r="D32">
            <v>0</v>
          </cell>
        </row>
        <row r="33">
          <cell r="D33">
            <v>7381993</v>
          </cell>
        </row>
      </sheetData>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 xml:space="preserve">UNIVERSAL </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21560479</v>
          </cell>
        </row>
        <row r="7">
          <cell r="D7">
            <v>119263</v>
          </cell>
        </row>
        <row r="8">
          <cell r="D8">
            <v>5886022</v>
          </cell>
        </row>
        <row r="10">
          <cell r="D10">
            <v>860055</v>
          </cell>
        </row>
        <row r="11">
          <cell r="D11">
            <v>152715</v>
          </cell>
        </row>
        <row r="12">
          <cell r="D12">
            <v>0</v>
          </cell>
        </row>
        <row r="13">
          <cell r="D13">
            <v>1540034</v>
          </cell>
        </row>
        <row r="14">
          <cell r="D14">
            <v>0</v>
          </cell>
        </row>
        <row r="15">
          <cell r="D15">
            <v>602714</v>
          </cell>
        </row>
        <row r="16">
          <cell r="D16">
            <v>0</v>
          </cell>
        </row>
        <row r="17">
          <cell r="D17">
            <v>0</v>
          </cell>
        </row>
        <row r="18">
          <cell r="D18">
            <v>0</v>
          </cell>
        </row>
        <row r="19">
          <cell r="D19">
            <v>30721282</v>
          </cell>
        </row>
        <row r="22">
          <cell r="D22">
            <v>1917831</v>
          </cell>
        </row>
        <row r="23">
          <cell r="D23">
            <v>0</v>
          </cell>
        </row>
        <row r="24">
          <cell r="D24">
            <v>2773371</v>
          </cell>
        </row>
        <row r="25">
          <cell r="D25">
            <v>0</v>
          </cell>
        </row>
        <row r="27">
          <cell r="D27">
            <v>0</v>
          </cell>
        </row>
        <row r="28">
          <cell r="D28">
            <v>0</v>
          </cell>
        </row>
        <row r="29">
          <cell r="D29">
            <v>58838</v>
          </cell>
        </row>
        <row r="30">
          <cell r="D30">
            <v>2503820</v>
          </cell>
        </row>
        <row r="31">
          <cell r="D31">
            <v>0</v>
          </cell>
        </row>
        <row r="32">
          <cell r="D32">
            <v>0</v>
          </cell>
        </row>
        <row r="33">
          <cell r="D33">
            <v>7253860</v>
          </cell>
        </row>
      </sheetData>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GREMEDA - IAMPP</v>
          </cell>
        </row>
        <row r="4">
          <cell r="C4" t="str">
            <v>Artigas</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7354275</v>
          </cell>
        </row>
        <row r="7">
          <cell r="D7">
            <v>0</v>
          </cell>
        </row>
        <row r="8">
          <cell r="D8">
            <v>6335466</v>
          </cell>
        </row>
        <row r="9">
          <cell r="D9">
            <v>897928</v>
          </cell>
        </row>
        <row r="10">
          <cell r="D10">
            <v>340060</v>
          </cell>
        </row>
        <row r="11">
          <cell r="D11">
            <v>415447</v>
          </cell>
        </row>
        <row r="12">
          <cell r="D12">
            <v>0</v>
          </cell>
        </row>
        <row r="13">
          <cell r="D13">
            <v>741667</v>
          </cell>
        </row>
        <row r="14">
          <cell r="D14">
            <v>0</v>
          </cell>
        </row>
        <row r="15">
          <cell r="D15">
            <v>0</v>
          </cell>
        </row>
        <row r="16">
          <cell r="D16">
            <v>0</v>
          </cell>
        </row>
        <row r="17">
          <cell r="D17">
            <v>0</v>
          </cell>
        </row>
        <row r="18">
          <cell r="D18">
            <v>0</v>
          </cell>
        </row>
        <row r="19">
          <cell r="D19">
            <v>16084843</v>
          </cell>
        </row>
        <row r="22">
          <cell r="D22">
            <v>1755346</v>
          </cell>
        </row>
        <row r="23">
          <cell r="D23">
            <v>0</v>
          </cell>
        </row>
        <row r="24">
          <cell r="D24">
            <v>1667758</v>
          </cell>
        </row>
        <row r="25">
          <cell r="D25">
            <v>0</v>
          </cell>
        </row>
        <row r="27">
          <cell r="D27">
            <v>0</v>
          </cell>
        </row>
        <row r="28">
          <cell r="D28">
            <v>0</v>
          </cell>
        </row>
        <row r="29">
          <cell r="D29">
            <v>0</v>
          </cell>
        </row>
        <row r="30">
          <cell r="D30">
            <v>774499</v>
          </cell>
        </row>
        <row r="31">
          <cell r="D31">
            <v>0</v>
          </cell>
        </row>
        <row r="32">
          <cell r="D32">
            <v>0</v>
          </cell>
        </row>
        <row r="33">
          <cell r="D33">
            <v>4197603</v>
          </cell>
        </row>
      </sheetData>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CAAMEPA - IAMPP</v>
          </cell>
        </row>
        <row r="4">
          <cell r="C4" t="str">
            <v>Canelones</v>
          </cell>
        </row>
      </sheetData>
      <sheetData sheetId="2">
        <row r="6">
          <cell r="D6">
            <v>2021</v>
          </cell>
        </row>
      </sheetData>
      <sheetData sheetId="3" refreshError="1"/>
      <sheetData sheetId="4" refreshError="1"/>
      <sheetData sheetId="5" refreshError="1"/>
      <sheetData sheetId="6" refreshError="1"/>
      <sheetData sheetId="7" refreshError="1"/>
      <sheetData sheetId="8" refreshError="1"/>
      <sheetData sheetId="9">
        <row r="6">
          <cell r="D6">
            <v>5988464</v>
          </cell>
        </row>
        <row r="7">
          <cell r="D7">
            <v>0</v>
          </cell>
        </row>
        <row r="8">
          <cell r="D8">
            <v>5192818</v>
          </cell>
        </row>
        <row r="9">
          <cell r="D9">
            <v>0</v>
          </cell>
        </row>
        <row r="10">
          <cell r="D10">
            <v>0</v>
          </cell>
        </row>
        <row r="11">
          <cell r="D11">
            <v>434814</v>
          </cell>
        </row>
        <row r="12">
          <cell r="D12">
            <v>0</v>
          </cell>
        </row>
        <row r="13">
          <cell r="D13">
            <v>690841</v>
          </cell>
        </row>
        <row r="14">
          <cell r="D14">
            <v>0</v>
          </cell>
        </row>
        <row r="15">
          <cell r="D15">
            <v>0</v>
          </cell>
        </row>
        <row r="16">
          <cell r="D16">
            <v>0</v>
          </cell>
        </row>
        <row r="17">
          <cell r="D17">
            <v>0</v>
          </cell>
        </row>
        <row r="18">
          <cell r="D18">
            <v>0</v>
          </cell>
        </row>
        <row r="19">
          <cell r="D19">
            <v>12306937</v>
          </cell>
        </row>
        <row r="22">
          <cell r="D22">
            <v>160966</v>
          </cell>
        </row>
        <row r="23">
          <cell r="D23">
            <v>0</v>
          </cell>
        </row>
        <row r="24">
          <cell r="D24">
            <v>2383361</v>
          </cell>
        </row>
        <row r="25">
          <cell r="D25">
            <v>1234596</v>
          </cell>
        </row>
        <row r="27">
          <cell r="D27">
            <v>0</v>
          </cell>
        </row>
        <row r="28">
          <cell r="D28">
            <v>0</v>
          </cell>
        </row>
        <row r="29">
          <cell r="D29">
            <v>0</v>
          </cell>
        </row>
        <row r="30">
          <cell r="D30">
            <v>4656206</v>
          </cell>
        </row>
        <row r="31">
          <cell r="D31">
            <v>0</v>
          </cell>
        </row>
        <row r="32">
          <cell r="D32">
            <v>486893</v>
          </cell>
        </row>
        <row r="33">
          <cell r="D33">
            <v>8922022</v>
          </cell>
        </row>
      </sheetData>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CRAMI - IAMPP</v>
          </cell>
        </row>
        <row r="4">
          <cell r="C4" t="str">
            <v>Canelones</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18444465</v>
          </cell>
        </row>
        <row r="7">
          <cell r="D7">
            <v>0</v>
          </cell>
        </row>
        <row r="8">
          <cell r="D8">
            <v>6459346</v>
          </cell>
        </row>
        <row r="9">
          <cell r="D9">
            <v>0</v>
          </cell>
        </row>
        <row r="10">
          <cell r="D10">
            <v>246214</v>
          </cell>
        </row>
        <row r="11">
          <cell r="D11">
            <v>41728</v>
          </cell>
        </row>
        <row r="12">
          <cell r="D12">
            <v>1746769</v>
          </cell>
        </row>
        <row r="13">
          <cell r="D13">
            <v>1116794</v>
          </cell>
        </row>
        <row r="14">
          <cell r="D14">
            <v>1741523</v>
          </cell>
        </row>
        <row r="15">
          <cell r="D15">
            <v>0</v>
          </cell>
        </row>
        <row r="16">
          <cell r="D16">
            <v>2254972</v>
          </cell>
        </row>
        <row r="17">
          <cell r="D17">
            <v>0</v>
          </cell>
        </row>
        <row r="18">
          <cell r="D18">
            <v>0</v>
          </cell>
        </row>
        <row r="19">
          <cell r="D19">
            <v>32051811</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COMECA - IAMPP</v>
          </cell>
        </row>
        <row r="4">
          <cell r="C4" t="str">
            <v>Canelones</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34616549</v>
          </cell>
        </row>
        <row r="7">
          <cell r="D7">
            <v>0</v>
          </cell>
        </row>
        <row r="8">
          <cell r="D8">
            <v>26346506</v>
          </cell>
        </row>
        <row r="9">
          <cell r="D9">
            <v>0</v>
          </cell>
        </row>
        <row r="10">
          <cell r="D10">
            <v>218053</v>
          </cell>
        </row>
        <row r="11">
          <cell r="D11">
            <v>266810</v>
          </cell>
        </row>
        <row r="12">
          <cell r="D12">
            <v>1242201</v>
          </cell>
        </row>
        <row r="13">
          <cell r="D13">
            <v>1952664</v>
          </cell>
        </row>
        <row r="14">
          <cell r="D14">
            <v>3147987</v>
          </cell>
        </row>
        <row r="16">
          <cell r="D16">
            <v>821919</v>
          </cell>
        </row>
        <row r="17">
          <cell r="D17">
            <v>0</v>
          </cell>
        </row>
        <row r="18">
          <cell r="D18">
            <v>0</v>
          </cell>
        </row>
        <row r="19">
          <cell r="D19">
            <v>68612689</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CAMCEL - IAMPP</v>
          </cell>
        </row>
        <row r="4">
          <cell r="C4" t="str">
            <v>Cerro Largo</v>
          </cell>
        </row>
      </sheetData>
      <sheetData sheetId="2">
        <row r="6">
          <cell r="D6">
            <v>2021</v>
          </cell>
        </row>
        <row r="117">
          <cell r="H117">
            <v>5134097</v>
          </cell>
        </row>
      </sheetData>
      <sheetData sheetId="3"/>
      <sheetData sheetId="4" refreshError="1"/>
      <sheetData sheetId="5" refreshError="1"/>
      <sheetData sheetId="6" refreshError="1"/>
      <sheetData sheetId="7" refreshError="1"/>
      <sheetData sheetId="8" refreshError="1"/>
      <sheetData sheetId="9">
        <row r="6">
          <cell r="D6">
            <v>7277956</v>
          </cell>
        </row>
        <row r="7">
          <cell r="D7">
            <v>0</v>
          </cell>
        </row>
        <row r="8">
          <cell r="D8">
            <v>5117266</v>
          </cell>
        </row>
        <row r="9">
          <cell r="D9">
            <v>0</v>
          </cell>
        </row>
        <row r="10">
          <cell r="D10">
            <v>1795843</v>
          </cell>
        </row>
        <row r="11">
          <cell r="D11">
            <v>492415</v>
          </cell>
        </row>
        <row r="12">
          <cell r="D12">
            <v>849941</v>
          </cell>
        </row>
        <row r="13">
          <cell r="D13">
            <v>235664</v>
          </cell>
        </row>
        <row r="14">
          <cell r="D14">
            <v>754612</v>
          </cell>
        </row>
        <row r="15">
          <cell r="D15">
            <v>0</v>
          </cell>
        </row>
        <row r="16">
          <cell r="D16">
            <v>0</v>
          </cell>
        </row>
        <row r="17">
          <cell r="D17">
            <v>0</v>
          </cell>
        </row>
        <row r="18">
          <cell r="D18">
            <v>0</v>
          </cell>
        </row>
        <row r="19">
          <cell r="D19">
            <v>16523697</v>
          </cell>
        </row>
        <row r="22">
          <cell r="D22">
            <v>364261</v>
          </cell>
        </row>
        <row r="23">
          <cell r="D23">
            <v>0</v>
          </cell>
        </row>
        <row r="24">
          <cell r="D24">
            <v>323406</v>
          </cell>
        </row>
        <row r="25">
          <cell r="D25">
            <v>0</v>
          </cell>
        </row>
        <row r="27">
          <cell r="D27">
            <v>0</v>
          </cell>
        </row>
        <row r="28">
          <cell r="D28">
            <v>0</v>
          </cell>
        </row>
        <row r="29">
          <cell r="D29">
            <v>0</v>
          </cell>
        </row>
        <row r="30">
          <cell r="D30">
            <v>0</v>
          </cell>
        </row>
        <row r="31">
          <cell r="D31">
            <v>3119124</v>
          </cell>
        </row>
        <row r="32">
          <cell r="D32">
            <v>0</v>
          </cell>
        </row>
        <row r="33">
          <cell r="D33">
            <v>3806791</v>
          </cell>
        </row>
      </sheetData>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CAMEC - IAMPP</v>
          </cell>
        </row>
        <row r="4">
          <cell r="C4" t="str">
            <v>Colonia</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21188042</v>
          </cell>
        </row>
        <row r="7">
          <cell r="D7">
            <v>0</v>
          </cell>
        </row>
        <row r="8">
          <cell r="D8">
            <v>24367914</v>
          </cell>
        </row>
        <row r="9">
          <cell r="D9">
            <v>0</v>
          </cell>
        </row>
        <row r="10">
          <cell r="D10">
            <v>4331186</v>
          </cell>
        </row>
        <row r="11">
          <cell r="D11">
            <v>838968</v>
          </cell>
        </row>
        <row r="12">
          <cell r="D12">
            <v>3185372</v>
          </cell>
        </row>
        <row r="13">
          <cell r="D13">
            <v>0</v>
          </cell>
        </row>
        <row r="14">
          <cell r="D14">
            <v>0</v>
          </cell>
        </row>
        <row r="15">
          <cell r="D15">
            <v>0</v>
          </cell>
        </row>
        <row r="16">
          <cell r="D16">
            <v>0</v>
          </cell>
        </row>
        <row r="17">
          <cell r="D17">
            <v>0</v>
          </cell>
        </row>
        <row r="18">
          <cell r="D18">
            <v>0</v>
          </cell>
        </row>
        <row r="19">
          <cell r="D19">
            <v>53911482</v>
          </cell>
        </row>
        <row r="22">
          <cell r="D22">
            <v>0</v>
          </cell>
        </row>
        <row r="23">
          <cell r="D23">
            <v>903225</v>
          </cell>
        </row>
        <row r="24">
          <cell r="D24">
            <v>4001848</v>
          </cell>
        </row>
        <row r="25">
          <cell r="D25">
            <v>0</v>
          </cell>
        </row>
        <row r="27">
          <cell r="D27">
            <v>0</v>
          </cell>
        </row>
        <row r="28">
          <cell r="D28">
            <v>0</v>
          </cell>
        </row>
        <row r="29">
          <cell r="D29">
            <v>0</v>
          </cell>
        </row>
        <row r="30">
          <cell r="D30">
            <v>2255937</v>
          </cell>
        </row>
        <row r="31">
          <cell r="D31">
            <v>0</v>
          </cell>
        </row>
        <row r="32">
          <cell r="D32">
            <v>0</v>
          </cell>
        </row>
        <row r="33">
          <cell r="D33">
            <v>7161010</v>
          </cell>
        </row>
      </sheetData>
      <sheetData sheetId="10" refreshError="1"/>
      <sheetData sheetId="11" refreshError="1"/>
      <sheetData sheetId="12" refreshError="1"/>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CAMOC - IAMPP</v>
          </cell>
        </row>
        <row r="4">
          <cell r="C4" t="str">
            <v>Colonia</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15783420</v>
          </cell>
        </row>
        <row r="7">
          <cell r="D7">
            <v>0</v>
          </cell>
        </row>
        <row r="8">
          <cell r="D8">
            <v>13280036</v>
          </cell>
        </row>
        <row r="9">
          <cell r="D9">
            <v>141389</v>
          </cell>
        </row>
        <row r="10">
          <cell r="D10">
            <v>290374</v>
          </cell>
        </row>
        <row r="11">
          <cell r="D11">
            <v>17541</v>
          </cell>
        </row>
        <row r="12">
          <cell r="D12">
            <v>1868025</v>
          </cell>
        </row>
        <row r="13">
          <cell r="D13">
            <v>0</v>
          </cell>
        </row>
        <row r="14">
          <cell r="D14">
            <v>1412766</v>
          </cell>
        </row>
        <row r="15">
          <cell r="D15">
            <v>0</v>
          </cell>
        </row>
        <row r="16">
          <cell r="D16">
            <v>2186498</v>
          </cell>
        </row>
        <row r="17">
          <cell r="D17">
            <v>0</v>
          </cell>
        </row>
        <row r="18">
          <cell r="D18">
            <v>0</v>
          </cell>
        </row>
        <row r="19">
          <cell r="D19">
            <v>34980049</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mprobaciones"/>
      <sheetName val="InformacionGeneral"/>
      <sheetName val="NotaActivosPasivos"/>
      <sheetName val="EstadoSituacionFinanciera"/>
      <sheetName val="ERFuncion"/>
      <sheetName val="EstadoResultadosORI"/>
      <sheetName val="EstadoDeFlujos"/>
      <sheetName val="EstadoCambiosPatrimonio"/>
      <sheetName val="PropiedadPlantaEquipo"/>
      <sheetName val="ControlantesYControladas"/>
    </sheetNames>
    <sheetDataSet>
      <sheetData sheetId="0"/>
      <sheetData sheetId="1"/>
      <sheetData sheetId="2" refreshError="1">
        <row r="8">
          <cell r="L8" t="e">
            <v>#N/A</v>
          </cell>
        </row>
        <row r="9">
          <cell r="L9" t="e">
            <v>#N/A</v>
          </cell>
        </row>
        <row r="11">
          <cell r="L11" t="e">
            <v>#N/A</v>
          </cell>
        </row>
        <row r="12">
          <cell r="L12" t="e">
            <v>#N/A</v>
          </cell>
        </row>
      </sheetData>
      <sheetData sheetId="3"/>
      <sheetData sheetId="4"/>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CAMEDUR - IAMPP</v>
          </cell>
        </row>
        <row r="4">
          <cell r="C4" t="str">
            <v>Durazno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0</v>
          </cell>
        </row>
        <row r="7">
          <cell r="D7">
            <v>6980764</v>
          </cell>
        </row>
        <row r="8">
          <cell r="D8">
            <v>5056614</v>
          </cell>
        </row>
        <row r="9">
          <cell r="D9">
            <v>405295</v>
          </cell>
        </row>
        <row r="10">
          <cell r="D10">
            <v>187697</v>
          </cell>
        </row>
        <row r="11">
          <cell r="D11">
            <v>909560</v>
          </cell>
        </row>
        <row r="12">
          <cell r="D12">
            <v>1714377</v>
          </cell>
        </row>
        <row r="13">
          <cell r="D13">
            <v>3132824</v>
          </cell>
        </row>
        <row r="14">
          <cell r="D14">
            <v>2326107</v>
          </cell>
        </row>
        <row r="15">
          <cell r="D15">
            <v>0</v>
          </cell>
        </row>
        <row r="16">
          <cell r="D16">
            <v>0</v>
          </cell>
        </row>
        <row r="17">
          <cell r="D17">
            <v>0</v>
          </cell>
        </row>
        <row r="18">
          <cell r="D18">
            <v>0</v>
          </cell>
        </row>
        <row r="19">
          <cell r="D19">
            <v>20713238</v>
          </cell>
        </row>
        <row r="22">
          <cell r="D22">
            <v>734733</v>
          </cell>
        </row>
        <row r="23">
          <cell r="D23">
            <v>0</v>
          </cell>
        </row>
        <row r="24">
          <cell r="D24">
            <v>0</v>
          </cell>
        </row>
        <row r="25">
          <cell r="D25">
            <v>0</v>
          </cell>
        </row>
        <row r="27">
          <cell r="D27">
            <v>0</v>
          </cell>
        </row>
        <row r="28">
          <cell r="D28">
            <v>0</v>
          </cell>
        </row>
        <row r="29">
          <cell r="D29">
            <v>0</v>
          </cell>
        </row>
        <row r="30">
          <cell r="D30">
            <v>0</v>
          </cell>
        </row>
        <row r="31">
          <cell r="D31">
            <v>314875</v>
          </cell>
        </row>
        <row r="32">
          <cell r="D32">
            <v>0</v>
          </cell>
        </row>
        <row r="33">
          <cell r="D33">
            <v>1049608</v>
          </cell>
        </row>
      </sheetData>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COMEFLO - IAMPP</v>
          </cell>
        </row>
        <row r="4">
          <cell r="C4" t="str">
            <v>Flores</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5342104</v>
          </cell>
        </row>
        <row r="7">
          <cell r="D7">
            <v>0</v>
          </cell>
        </row>
        <row r="8">
          <cell r="D8">
            <v>3822283</v>
          </cell>
        </row>
        <row r="9">
          <cell r="D9">
            <v>0</v>
          </cell>
        </row>
        <row r="11">
          <cell r="D11">
            <v>696305</v>
          </cell>
        </row>
        <row r="12">
          <cell r="D12">
            <v>0</v>
          </cell>
        </row>
        <row r="15">
          <cell r="D15">
            <v>0</v>
          </cell>
        </row>
        <row r="16">
          <cell r="D16">
            <v>0</v>
          </cell>
        </row>
        <row r="17">
          <cell r="D17">
            <v>0</v>
          </cell>
        </row>
        <row r="18">
          <cell r="D18">
            <v>0</v>
          </cell>
        </row>
        <row r="19">
          <cell r="D19">
            <v>9860692</v>
          </cell>
        </row>
        <row r="22">
          <cell r="D22">
            <v>0</v>
          </cell>
        </row>
        <row r="23">
          <cell r="D23">
            <v>1188035</v>
          </cell>
        </row>
        <row r="24">
          <cell r="D24">
            <v>1989312</v>
          </cell>
        </row>
        <row r="25">
          <cell r="D25">
            <v>0</v>
          </cell>
        </row>
        <row r="27">
          <cell r="D27">
            <v>0</v>
          </cell>
        </row>
        <row r="28">
          <cell r="D28">
            <v>0</v>
          </cell>
        </row>
        <row r="30">
          <cell r="D30">
            <v>487842</v>
          </cell>
        </row>
        <row r="31">
          <cell r="D31">
            <v>0</v>
          </cell>
        </row>
        <row r="32">
          <cell r="D32">
            <v>2784</v>
          </cell>
        </row>
        <row r="33">
          <cell r="D33">
            <v>3667973</v>
          </cell>
        </row>
      </sheetData>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COMEF - IAMPP</v>
          </cell>
        </row>
        <row r="4">
          <cell r="C4" t="str">
            <v>Florida</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10172178</v>
          </cell>
        </row>
        <row r="7">
          <cell r="D7">
            <v>0</v>
          </cell>
        </row>
        <row r="8">
          <cell r="D8">
            <v>6445429</v>
          </cell>
        </row>
        <row r="9">
          <cell r="D9">
            <v>0</v>
          </cell>
        </row>
        <row r="10">
          <cell r="D10">
            <v>50435</v>
          </cell>
        </row>
        <row r="11">
          <cell r="D11">
            <v>590</v>
          </cell>
        </row>
        <row r="12">
          <cell r="D12">
            <v>387457</v>
          </cell>
        </row>
        <row r="13">
          <cell r="D13">
            <v>902133</v>
          </cell>
        </row>
        <row r="14">
          <cell r="D14">
            <v>1137042</v>
          </cell>
        </row>
        <row r="15">
          <cell r="D15">
            <v>12357</v>
          </cell>
        </row>
        <row r="16">
          <cell r="D16">
            <v>0</v>
          </cell>
        </row>
        <row r="17">
          <cell r="D17">
            <v>0</v>
          </cell>
        </row>
        <row r="18">
          <cell r="D18">
            <v>0</v>
          </cell>
        </row>
        <row r="19">
          <cell r="D19">
            <v>19107621</v>
          </cell>
        </row>
        <row r="22">
          <cell r="D22">
            <v>387457</v>
          </cell>
        </row>
        <row r="23">
          <cell r="D23">
            <v>0</v>
          </cell>
        </row>
        <row r="24">
          <cell r="D24">
            <v>200655</v>
          </cell>
        </row>
        <row r="25">
          <cell r="D25">
            <v>0</v>
          </cell>
        </row>
        <row r="27">
          <cell r="D27">
            <v>0</v>
          </cell>
        </row>
        <row r="28">
          <cell r="D28">
            <v>0</v>
          </cell>
        </row>
        <row r="29">
          <cell r="D29">
            <v>820579</v>
          </cell>
        </row>
        <row r="30">
          <cell r="D30">
            <v>0</v>
          </cell>
        </row>
        <row r="31">
          <cell r="D31">
            <v>0</v>
          </cell>
        </row>
        <row r="32">
          <cell r="D32">
            <v>0</v>
          </cell>
        </row>
        <row r="33">
          <cell r="D33">
            <v>1408691</v>
          </cell>
        </row>
      </sheetData>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CAMDEL - IAMPP</v>
          </cell>
        </row>
        <row r="4">
          <cell r="C4" t="str">
            <v>Lavalleja</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12569074</v>
          </cell>
        </row>
        <row r="7">
          <cell r="D7">
            <v>0</v>
          </cell>
        </row>
        <row r="8">
          <cell r="D8">
            <v>8310747</v>
          </cell>
        </row>
        <row r="9">
          <cell r="D9">
            <v>0</v>
          </cell>
        </row>
        <row r="10">
          <cell r="D10">
            <v>0</v>
          </cell>
        </row>
        <row r="11">
          <cell r="D11">
            <v>183498</v>
          </cell>
        </row>
        <row r="12">
          <cell r="D12">
            <v>0</v>
          </cell>
        </row>
        <row r="13">
          <cell r="D13">
            <v>0</v>
          </cell>
        </row>
        <row r="14">
          <cell r="D14">
            <v>0</v>
          </cell>
        </row>
        <row r="15">
          <cell r="D15">
            <v>2162302</v>
          </cell>
        </row>
        <row r="16">
          <cell r="D16">
            <v>0</v>
          </cell>
        </row>
        <row r="17">
          <cell r="D17">
            <v>0</v>
          </cell>
        </row>
        <row r="18">
          <cell r="D18">
            <v>0</v>
          </cell>
        </row>
        <row r="19">
          <cell r="D19">
            <v>23225621</v>
          </cell>
        </row>
        <row r="22">
          <cell r="D22">
            <v>1038969</v>
          </cell>
        </row>
        <row r="23">
          <cell r="D23">
            <v>263195</v>
          </cell>
        </row>
        <row r="24">
          <cell r="D24">
            <v>1380012</v>
          </cell>
        </row>
        <row r="25">
          <cell r="D25">
            <v>0</v>
          </cell>
        </row>
        <row r="27">
          <cell r="D27">
            <v>0</v>
          </cell>
        </row>
        <row r="28">
          <cell r="D28">
            <v>0</v>
          </cell>
        </row>
        <row r="29">
          <cell r="D29">
            <v>0</v>
          </cell>
        </row>
        <row r="30">
          <cell r="D30">
            <v>355589</v>
          </cell>
        </row>
        <row r="31">
          <cell r="D31">
            <v>0</v>
          </cell>
        </row>
        <row r="32">
          <cell r="D32">
            <v>16623</v>
          </cell>
        </row>
        <row r="33">
          <cell r="D33">
            <v>3054388</v>
          </cell>
        </row>
      </sheetData>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AMDM - IAMPP</v>
          </cell>
        </row>
        <row r="4">
          <cell r="C4" t="str">
            <v>Maldonado</v>
          </cell>
        </row>
      </sheetData>
      <sheetData sheetId="2">
        <row r="6">
          <cell r="D6">
            <v>2021</v>
          </cell>
        </row>
      </sheetData>
      <sheetData sheetId="3"/>
      <sheetData sheetId="4">
        <row r="32">
          <cell r="E32">
            <v>16773316</v>
          </cell>
        </row>
      </sheetData>
      <sheetData sheetId="5" refreshError="1"/>
      <sheetData sheetId="6" refreshError="1"/>
      <sheetData sheetId="7" refreshError="1"/>
      <sheetData sheetId="8" refreshError="1"/>
      <sheetData sheetId="9">
        <row r="6">
          <cell r="D6">
            <v>58539326</v>
          </cell>
        </row>
        <row r="7">
          <cell r="D7">
            <v>0</v>
          </cell>
        </row>
        <row r="8">
          <cell r="D8">
            <v>27199374</v>
          </cell>
        </row>
        <row r="9">
          <cell r="D9">
            <v>0</v>
          </cell>
        </row>
        <row r="10">
          <cell r="D10">
            <v>988599</v>
          </cell>
        </row>
        <row r="11">
          <cell r="D11">
            <v>1871849</v>
          </cell>
        </row>
        <row r="12">
          <cell r="D12">
            <v>1417219</v>
          </cell>
        </row>
        <row r="13">
          <cell r="D13">
            <v>4735990</v>
          </cell>
        </row>
        <row r="14">
          <cell r="D14">
            <v>1471902</v>
          </cell>
        </row>
        <row r="15">
          <cell r="D15">
            <v>466349</v>
          </cell>
        </row>
        <row r="16">
          <cell r="D16">
            <v>781374</v>
          </cell>
        </row>
        <row r="17">
          <cell r="D17">
            <v>0</v>
          </cell>
        </row>
        <row r="18">
          <cell r="D18">
            <v>0</v>
          </cell>
        </row>
        <row r="19">
          <cell r="D19">
            <v>97471982</v>
          </cell>
        </row>
        <row r="22">
          <cell r="D22">
            <v>353414</v>
          </cell>
        </row>
        <row r="23">
          <cell r="D23">
            <v>0</v>
          </cell>
        </row>
        <row r="24">
          <cell r="D24">
            <v>367385</v>
          </cell>
        </row>
        <row r="25">
          <cell r="D25">
            <v>0</v>
          </cell>
        </row>
        <row r="27">
          <cell r="D27">
            <v>0</v>
          </cell>
        </row>
        <row r="28">
          <cell r="D28">
            <v>0</v>
          </cell>
        </row>
        <row r="29">
          <cell r="D29">
            <v>0</v>
          </cell>
        </row>
        <row r="30">
          <cell r="D30">
            <v>195341</v>
          </cell>
        </row>
        <row r="31">
          <cell r="D31">
            <v>1449522</v>
          </cell>
        </row>
        <row r="32">
          <cell r="D32">
            <v>0</v>
          </cell>
        </row>
        <row r="33">
          <cell r="D33">
            <v>2365662</v>
          </cell>
        </row>
      </sheetData>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CRAME - IAMPP</v>
          </cell>
        </row>
        <row r="4">
          <cell r="C4" t="str">
            <v>Maldonado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43651666</v>
          </cell>
        </row>
        <row r="16">
          <cell r="D16">
            <v>0</v>
          </cell>
        </row>
        <row r="17">
          <cell r="D17">
            <v>0</v>
          </cell>
        </row>
        <row r="18">
          <cell r="D18">
            <v>0</v>
          </cell>
        </row>
        <row r="19">
          <cell r="D19">
            <v>43651666</v>
          </cell>
        </row>
        <row r="22">
          <cell r="D22">
            <v>0</v>
          </cell>
        </row>
        <row r="23">
          <cell r="D23">
            <v>0</v>
          </cell>
        </row>
        <row r="24">
          <cell r="D24">
            <v>0</v>
          </cell>
        </row>
        <row r="25">
          <cell r="D25">
            <v>11126869</v>
          </cell>
        </row>
        <row r="27">
          <cell r="D27">
            <v>0</v>
          </cell>
        </row>
        <row r="28">
          <cell r="D28">
            <v>0</v>
          </cell>
        </row>
        <row r="29">
          <cell r="D29">
            <v>0</v>
          </cell>
        </row>
        <row r="30">
          <cell r="D30">
            <v>0</v>
          </cell>
        </row>
        <row r="31">
          <cell r="D31">
            <v>0</v>
          </cell>
        </row>
        <row r="32">
          <cell r="D32">
            <v>0</v>
          </cell>
        </row>
        <row r="33">
          <cell r="D33">
            <v>11126869</v>
          </cell>
        </row>
      </sheetData>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COMEPA - IAMPP</v>
          </cell>
        </row>
        <row r="4">
          <cell r="C4" t="str">
            <v>Paysandu</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42008222</v>
          </cell>
        </row>
        <row r="7">
          <cell r="D7">
            <v>0</v>
          </cell>
        </row>
        <row r="8">
          <cell r="D8">
            <v>19605332</v>
          </cell>
        </row>
        <row r="9">
          <cell r="D9">
            <v>0</v>
          </cell>
        </row>
        <row r="10">
          <cell r="D10">
            <v>4175933</v>
          </cell>
        </row>
        <row r="11">
          <cell r="D11">
            <v>71944</v>
          </cell>
        </row>
        <row r="12">
          <cell r="D12">
            <v>6790848</v>
          </cell>
        </row>
        <row r="13">
          <cell r="D13">
            <v>250112</v>
          </cell>
        </row>
        <row r="14">
          <cell r="D14">
            <v>5235261</v>
          </cell>
        </row>
        <row r="15">
          <cell r="D15">
            <v>0</v>
          </cell>
        </row>
        <row r="16">
          <cell r="D16">
            <v>70225</v>
          </cell>
        </row>
        <row r="17">
          <cell r="D17">
            <v>0</v>
          </cell>
        </row>
        <row r="18">
          <cell r="D18">
            <v>0</v>
          </cell>
        </row>
        <row r="19">
          <cell r="D19">
            <v>78207877</v>
          </cell>
        </row>
        <row r="22">
          <cell r="D22">
            <v>489233</v>
          </cell>
        </row>
        <row r="23">
          <cell r="D23">
            <v>0</v>
          </cell>
        </row>
        <row r="24">
          <cell r="D24">
            <v>599260</v>
          </cell>
        </row>
        <row r="25">
          <cell r="D25">
            <v>170602</v>
          </cell>
        </row>
        <row r="27">
          <cell r="D27">
            <v>0</v>
          </cell>
        </row>
        <row r="28">
          <cell r="D28">
            <v>0</v>
          </cell>
        </row>
        <row r="29">
          <cell r="D29">
            <v>0</v>
          </cell>
        </row>
        <row r="30">
          <cell r="D30">
            <v>0</v>
          </cell>
        </row>
        <row r="31">
          <cell r="D31">
            <v>3479181</v>
          </cell>
        </row>
        <row r="32">
          <cell r="D32">
            <v>0</v>
          </cell>
        </row>
        <row r="33">
          <cell r="D33">
            <v>4738276</v>
          </cell>
        </row>
      </sheetData>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AMEDRIN - IAMPP</v>
          </cell>
        </row>
        <row r="4">
          <cell r="C4" t="str">
            <v>Rio Negro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4991244</v>
          </cell>
        </row>
        <row r="7">
          <cell r="D7">
            <v>0</v>
          </cell>
        </row>
        <row r="8">
          <cell r="D8">
            <v>0</v>
          </cell>
        </row>
        <row r="9">
          <cell r="D9">
            <v>0</v>
          </cell>
        </row>
        <row r="10">
          <cell r="D10">
            <v>529639</v>
          </cell>
        </row>
        <row r="11">
          <cell r="D11">
            <v>1474396</v>
          </cell>
        </row>
        <row r="12">
          <cell r="D12">
            <v>1599484</v>
          </cell>
        </row>
        <row r="13">
          <cell r="D13">
            <v>0</v>
          </cell>
        </row>
        <row r="14">
          <cell r="D14">
            <v>144027</v>
          </cell>
        </row>
        <row r="15">
          <cell r="D15">
            <v>0</v>
          </cell>
        </row>
        <row r="16">
          <cell r="D16">
            <v>0</v>
          </cell>
        </row>
        <row r="17">
          <cell r="D17">
            <v>0</v>
          </cell>
        </row>
        <row r="18">
          <cell r="D18">
            <v>0</v>
          </cell>
        </row>
        <row r="19">
          <cell r="D19">
            <v>8738790</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3">
          <cell r="C3" t="str">
            <v>CAMY</v>
          </cell>
        </row>
        <row r="4">
          <cell r="C4" t="str">
            <v>Rio Negro</v>
          </cell>
        </row>
      </sheetData>
      <sheetData sheetId="2">
        <row r="6">
          <cell r="D6">
            <v>2021</v>
          </cell>
        </row>
      </sheetData>
      <sheetData sheetId="3"/>
      <sheetData sheetId="4">
        <row r="70">
          <cell r="E70">
            <v>118407607</v>
          </cell>
        </row>
      </sheetData>
      <sheetData sheetId="5"/>
      <sheetData sheetId="6"/>
      <sheetData sheetId="7">
        <row r="134">
          <cell r="E134">
            <v>0</v>
          </cell>
        </row>
      </sheetData>
      <sheetData sheetId="8"/>
      <sheetData sheetId="9">
        <row r="6">
          <cell r="D6">
            <v>3437156</v>
          </cell>
        </row>
        <row r="7">
          <cell r="D7">
            <v>0</v>
          </cell>
        </row>
        <row r="8">
          <cell r="D8">
            <v>1997200</v>
          </cell>
        </row>
        <row r="9">
          <cell r="D9">
            <v>0</v>
          </cell>
        </row>
        <row r="10">
          <cell r="D10">
            <v>36877</v>
          </cell>
        </row>
        <row r="11">
          <cell r="D11">
            <v>42020</v>
          </cell>
        </row>
        <row r="12">
          <cell r="D12">
            <v>54311</v>
          </cell>
        </row>
        <row r="13">
          <cell r="D13">
            <v>0</v>
          </cell>
        </row>
        <row r="14">
          <cell r="D14">
            <v>136341</v>
          </cell>
        </row>
        <row r="15">
          <cell r="D15">
            <v>137706</v>
          </cell>
        </row>
        <row r="16">
          <cell r="D16">
            <v>888365</v>
          </cell>
        </row>
        <row r="17">
          <cell r="D17">
            <v>0</v>
          </cell>
        </row>
        <row r="18">
          <cell r="D18">
            <v>0</v>
          </cell>
        </row>
        <row r="19">
          <cell r="D19">
            <v>6729976</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CASMER - IAMPP</v>
          </cell>
        </row>
        <row r="4">
          <cell r="C4" t="str">
            <v>Rivera</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7882213</v>
          </cell>
        </row>
        <row r="7">
          <cell r="D7">
            <v>0</v>
          </cell>
        </row>
        <row r="8">
          <cell r="D8">
            <v>8277390</v>
          </cell>
        </row>
        <row r="9">
          <cell r="D9">
            <v>0</v>
          </cell>
        </row>
        <row r="10">
          <cell r="D10">
            <v>0</v>
          </cell>
        </row>
        <row r="11">
          <cell r="D11">
            <v>0</v>
          </cell>
        </row>
        <row r="12">
          <cell r="D12">
            <v>1946023</v>
          </cell>
        </row>
        <row r="13">
          <cell r="D13">
            <v>2011221</v>
          </cell>
        </row>
        <row r="14">
          <cell r="D14">
            <v>1746551</v>
          </cell>
        </row>
        <row r="15">
          <cell r="D15">
            <v>0</v>
          </cell>
        </row>
        <row r="16">
          <cell r="D16">
            <v>0</v>
          </cell>
        </row>
        <row r="17">
          <cell r="D17">
            <v>0</v>
          </cell>
        </row>
        <row r="18">
          <cell r="D18">
            <v>0</v>
          </cell>
        </row>
        <row r="19">
          <cell r="D19">
            <v>21863398</v>
          </cell>
        </row>
        <row r="22">
          <cell r="D22">
            <v>461372</v>
          </cell>
        </row>
        <row r="23">
          <cell r="D23">
            <v>0</v>
          </cell>
        </row>
        <row r="24">
          <cell r="D24">
            <v>271522</v>
          </cell>
        </row>
        <row r="25">
          <cell r="D25">
            <v>0</v>
          </cell>
        </row>
        <row r="27">
          <cell r="D27">
            <v>0</v>
          </cell>
        </row>
        <row r="28">
          <cell r="D28">
            <v>0</v>
          </cell>
        </row>
        <row r="29">
          <cell r="D29">
            <v>0</v>
          </cell>
        </row>
        <row r="30">
          <cell r="D30">
            <v>3158612</v>
          </cell>
        </row>
        <row r="31">
          <cell r="D31">
            <v>459442</v>
          </cell>
        </row>
        <row r="32">
          <cell r="D32">
            <v>0</v>
          </cell>
        </row>
        <row r="33">
          <cell r="D33">
            <v>4350948</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ASESP</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85413475</v>
          </cell>
        </row>
        <row r="7">
          <cell r="D7">
            <v>2845145</v>
          </cell>
        </row>
        <row r="8">
          <cell r="D8">
            <v>55169159</v>
          </cell>
        </row>
        <row r="9">
          <cell r="D9">
            <v>0</v>
          </cell>
        </row>
        <row r="10">
          <cell r="D10">
            <v>11830892</v>
          </cell>
        </row>
        <row r="11">
          <cell r="D11">
            <v>5397058</v>
          </cell>
        </row>
        <row r="12">
          <cell r="D12">
            <v>0</v>
          </cell>
        </row>
        <row r="13">
          <cell r="D13">
            <v>0</v>
          </cell>
        </row>
        <row r="14">
          <cell r="D14">
            <v>30092677</v>
          </cell>
        </row>
        <row r="15">
          <cell r="D15">
            <v>5508083</v>
          </cell>
        </row>
        <row r="16">
          <cell r="D16">
            <v>0</v>
          </cell>
        </row>
        <row r="17">
          <cell r="D17">
            <v>0</v>
          </cell>
        </row>
        <row r="18">
          <cell r="D18">
            <v>0</v>
          </cell>
        </row>
        <row r="19">
          <cell r="D19">
            <v>196256489</v>
          </cell>
        </row>
        <row r="22">
          <cell r="D22">
            <v>22501974</v>
          </cell>
        </row>
        <row r="23">
          <cell r="D23">
            <v>0</v>
          </cell>
        </row>
        <row r="24">
          <cell r="D24">
            <v>21669381</v>
          </cell>
        </row>
        <row r="25">
          <cell r="D25">
            <v>170353</v>
          </cell>
        </row>
        <row r="27">
          <cell r="D27">
            <v>0</v>
          </cell>
        </row>
        <row r="28">
          <cell r="D28">
            <v>0</v>
          </cell>
        </row>
        <row r="29">
          <cell r="D29">
            <v>0</v>
          </cell>
        </row>
        <row r="30">
          <cell r="D30">
            <v>34127078</v>
          </cell>
        </row>
        <row r="31">
          <cell r="D31">
            <v>5451925</v>
          </cell>
        </row>
        <row r="32">
          <cell r="D32">
            <v>0</v>
          </cell>
        </row>
        <row r="33">
          <cell r="D33">
            <v>83920711</v>
          </cell>
        </row>
      </sheetData>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COMERI - IAMPP</v>
          </cell>
        </row>
        <row r="4">
          <cell r="C4" t="str">
            <v>Rivera</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2055979</v>
          </cell>
        </row>
        <row r="7">
          <cell r="D7">
            <v>0</v>
          </cell>
        </row>
        <row r="8">
          <cell r="D8">
            <v>5508474</v>
          </cell>
        </row>
        <row r="9">
          <cell r="D9">
            <v>0</v>
          </cell>
        </row>
        <row r="10">
          <cell r="D10">
            <v>276676</v>
          </cell>
        </row>
        <row r="11">
          <cell r="D11">
            <v>0</v>
          </cell>
        </row>
        <row r="12">
          <cell r="D12">
            <v>0</v>
          </cell>
        </row>
        <row r="13">
          <cell r="D13">
            <v>1278685</v>
          </cell>
        </row>
        <row r="14">
          <cell r="D14">
            <v>1371595</v>
          </cell>
        </row>
        <row r="15">
          <cell r="D15">
            <v>0</v>
          </cell>
        </row>
        <row r="16">
          <cell r="D16">
            <v>0</v>
          </cell>
        </row>
        <row r="17">
          <cell r="D17">
            <v>0</v>
          </cell>
        </row>
        <row r="18">
          <cell r="D18">
            <v>0</v>
          </cell>
        </row>
        <row r="19">
          <cell r="D19">
            <v>10491409</v>
          </cell>
        </row>
        <row r="22">
          <cell r="D22">
            <v>0</v>
          </cell>
        </row>
        <row r="23">
          <cell r="D23">
            <v>0</v>
          </cell>
        </row>
        <row r="24">
          <cell r="D24">
            <v>0</v>
          </cell>
        </row>
        <row r="25">
          <cell r="D25">
            <v>0</v>
          </cell>
        </row>
        <row r="27">
          <cell r="D27">
            <v>0</v>
          </cell>
        </row>
        <row r="28">
          <cell r="D28">
            <v>0</v>
          </cell>
        </row>
        <row r="29">
          <cell r="D29">
            <v>125232</v>
          </cell>
        </row>
        <row r="30">
          <cell r="D30">
            <v>498935</v>
          </cell>
        </row>
        <row r="31">
          <cell r="D31">
            <v>0</v>
          </cell>
        </row>
        <row r="32">
          <cell r="D32">
            <v>0</v>
          </cell>
        </row>
        <row r="33">
          <cell r="D33">
            <v>624167</v>
          </cell>
        </row>
      </sheetData>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3">
          <cell r="C3" t="str">
            <v>COMERO - IAMPP</v>
          </cell>
        </row>
        <row r="4">
          <cell r="C4" t="str">
            <v>Rocha</v>
          </cell>
        </row>
      </sheetData>
      <sheetData sheetId="2">
        <row r="6">
          <cell r="D6">
            <v>2021</v>
          </cell>
        </row>
      </sheetData>
      <sheetData sheetId="3"/>
      <sheetData sheetId="4">
        <row r="32">
          <cell r="E32">
            <v>10411900.700320002</v>
          </cell>
        </row>
      </sheetData>
      <sheetData sheetId="5"/>
      <sheetData sheetId="6"/>
      <sheetData sheetId="7"/>
      <sheetData sheetId="8"/>
      <sheetData sheetId="9">
        <row r="6">
          <cell r="D6">
            <v>13342433</v>
          </cell>
        </row>
        <row r="7">
          <cell r="D7">
            <v>0</v>
          </cell>
        </row>
        <row r="8">
          <cell r="D8">
            <v>6881209</v>
          </cell>
        </row>
        <row r="9">
          <cell r="D9">
            <v>442992</v>
          </cell>
        </row>
        <row r="10">
          <cell r="D10">
            <v>1578091</v>
          </cell>
        </row>
        <row r="11">
          <cell r="D11">
            <v>467896</v>
          </cell>
        </row>
        <row r="12">
          <cell r="D12">
            <v>972349</v>
          </cell>
        </row>
        <row r="13">
          <cell r="D13">
            <v>1977707</v>
          </cell>
        </row>
        <row r="14">
          <cell r="D14">
            <v>3312536</v>
          </cell>
        </row>
        <row r="15">
          <cell r="D15">
            <v>622949</v>
          </cell>
        </row>
        <row r="16">
          <cell r="D16">
            <v>582175</v>
          </cell>
        </row>
        <row r="17">
          <cell r="D17">
            <v>0</v>
          </cell>
        </row>
        <row r="18">
          <cell r="D18">
            <v>0</v>
          </cell>
        </row>
        <row r="19">
          <cell r="D19">
            <v>30180337</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SOC. MED. QUIR. SALTO - IAMPP</v>
          </cell>
        </row>
        <row r="4">
          <cell r="C4" t="str">
            <v>Salto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23909506.280000001</v>
          </cell>
        </row>
        <row r="7">
          <cell r="D7">
            <v>0</v>
          </cell>
        </row>
        <row r="8">
          <cell r="D8">
            <v>29779293</v>
          </cell>
        </row>
        <row r="9">
          <cell r="D9">
            <v>1235000</v>
          </cell>
        </row>
        <row r="10">
          <cell r="D10">
            <v>0</v>
          </cell>
        </row>
        <row r="11">
          <cell r="D11">
            <v>0</v>
          </cell>
        </row>
        <row r="12">
          <cell r="D12">
            <v>0</v>
          </cell>
        </row>
        <row r="13">
          <cell r="D13">
            <v>984546</v>
          </cell>
        </row>
        <row r="14">
          <cell r="D14">
            <v>0</v>
          </cell>
        </row>
        <row r="15">
          <cell r="D15">
            <v>0</v>
          </cell>
        </row>
        <row r="16">
          <cell r="D16">
            <v>0</v>
          </cell>
        </row>
        <row r="17">
          <cell r="D17">
            <v>0</v>
          </cell>
        </row>
        <row r="18">
          <cell r="D18">
            <v>0</v>
          </cell>
        </row>
        <row r="19">
          <cell r="D19">
            <v>55908345.280000001</v>
          </cell>
        </row>
        <row r="22">
          <cell r="D22">
            <v>3028104.4</v>
          </cell>
        </row>
        <row r="23">
          <cell r="D23">
            <v>0</v>
          </cell>
        </row>
        <row r="24">
          <cell r="D24">
            <v>1995282</v>
          </cell>
        </row>
        <row r="25">
          <cell r="D25">
            <v>0</v>
          </cell>
        </row>
        <row r="27">
          <cell r="D27">
            <v>0</v>
          </cell>
        </row>
        <row r="28">
          <cell r="D28">
            <v>0</v>
          </cell>
        </row>
        <row r="29">
          <cell r="D29">
            <v>0</v>
          </cell>
        </row>
        <row r="30">
          <cell r="D30">
            <v>0</v>
          </cell>
        </row>
        <row r="31">
          <cell r="D31">
            <v>0</v>
          </cell>
        </row>
        <row r="32">
          <cell r="D32">
            <v>0</v>
          </cell>
        </row>
        <row r="33">
          <cell r="D33">
            <v>5023386.4000000004</v>
          </cell>
        </row>
      </sheetData>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ASOC. MED. SAN JOSE - IAMPP</v>
          </cell>
        </row>
        <row r="4">
          <cell r="C4" t="str">
            <v>San Jose</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21967159.099999987</v>
          </cell>
        </row>
        <row r="7">
          <cell r="D7">
            <v>0</v>
          </cell>
        </row>
        <row r="8">
          <cell r="D8">
            <v>10318908.679999998</v>
          </cell>
        </row>
        <row r="9">
          <cell r="D9">
            <v>0</v>
          </cell>
        </row>
        <row r="10">
          <cell r="D10">
            <v>1013316.1800000004</v>
          </cell>
        </row>
        <row r="11">
          <cell r="D11">
            <v>1193877.9200000006</v>
          </cell>
        </row>
        <row r="12">
          <cell r="D12">
            <v>2169130.6500000013</v>
          </cell>
        </row>
        <row r="13">
          <cell r="D13">
            <v>4256487.5599999996</v>
          </cell>
        </row>
        <row r="14">
          <cell r="D14">
            <v>5285500.8500000006</v>
          </cell>
        </row>
        <row r="15">
          <cell r="D15">
            <v>0</v>
          </cell>
        </row>
        <row r="16">
          <cell r="D16">
            <v>5494302.4200000018</v>
          </cell>
        </row>
        <row r="17">
          <cell r="D17">
            <v>0</v>
          </cell>
        </row>
        <row r="18">
          <cell r="D18">
            <v>0</v>
          </cell>
        </row>
        <row r="19">
          <cell r="D19">
            <v>51698683.359999992</v>
          </cell>
        </row>
        <row r="22">
          <cell r="D22">
            <v>61875.72</v>
          </cell>
        </row>
        <row r="23">
          <cell r="D23">
            <v>0</v>
          </cell>
        </row>
        <row r="24">
          <cell r="D24">
            <v>404403.64</v>
          </cell>
        </row>
        <row r="25">
          <cell r="D25">
            <v>0</v>
          </cell>
        </row>
        <row r="27">
          <cell r="D27">
            <v>0</v>
          </cell>
        </row>
        <row r="28">
          <cell r="D28">
            <v>0</v>
          </cell>
        </row>
        <row r="29">
          <cell r="D29">
            <v>0</v>
          </cell>
        </row>
        <row r="30">
          <cell r="D30">
            <v>27450</v>
          </cell>
        </row>
        <row r="31">
          <cell r="D31">
            <v>1246915.82</v>
          </cell>
        </row>
        <row r="32">
          <cell r="D32">
            <v>195970.88999999998</v>
          </cell>
        </row>
        <row r="33">
          <cell r="D33">
            <v>1936616.07</v>
          </cell>
        </row>
      </sheetData>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CAMS - IAMPP</v>
          </cell>
        </row>
        <row r="4">
          <cell r="C4" t="str">
            <v>Soriano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12555975</v>
          </cell>
        </row>
        <row r="7">
          <cell r="D7">
            <v>0</v>
          </cell>
        </row>
        <row r="8">
          <cell r="D8">
            <v>7681851</v>
          </cell>
        </row>
        <row r="9">
          <cell r="D9">
            <v>0</v>
          </cell>
        </row>
        <row r="10">
          <cell r="D10">
            <v>179596</v>
          </cell>
        </row>
        <row r="11">
          <cell r="D11">
            <v>1102551</v>
          </cell>
        </row>
        <row r="12">
          <cell r="D12">
            <v>538412</v>
          </cell>
        </row>
        <row r="13">
          <cell r="D13">
            <v>2218222</v>
          </cell>
        </row>
        <row r="14">
          <cell r="D14">
            <v>1864147</v>
          </cell>
        </row>
        <row r="15">
          <cell r="D15">
            <v>0</v>
          </cell>
        </row>
        <row r="16">
          <cell r="D16">
            <v>114461</v>
          </cell>
        </row>
        <row r="17">
          <cell r="D17">
            <v>0</v>
          </cell>
        </row>
        <row r="18">
          <cell r="D18">
            <v>0</v>
          </cell>
        </row>
        <row r="19">
          <cell r="D19">
            <v>26255215</v>
          </cell>
        </row>
        <row r="22">
          <cell r="D22">
            <v>29369</v>
          </cell>
        </row>
        <row r="23">
          <cell r="D23">
            <v>0</v>
          </cell>
        </row>
        <row r="24">
          <cell r="D24">
            <v>191271</v>
          </cell>
        </row>
        <row r="25">
          <cell r="D25">
            <v>0</v>
          </cell>
        </row>
        <row r="27">
          <cell r="D27">
            <v>0</v>
          </cell>
        </row>
        <row r="28">
          <cell r="D28">
            <v>0</v>
          </cell>
        </row>
        <row r="29">
          <cell r="D29">
            <v>0</v>
          </cell>
        </row>
        <row r="30">
          <cell r="D30">
            <v>54654</v>
          </cell>
        </row>
        <row r="31">
          <cell r="D31">
            <v>0</v>
          </cell>
        </row>
        <row r="32">
          <cell r="D32">
            <v>0</v>
          </cell>
        </row>
        <row r="33">
          <cell r="D33">
            <v>275294</v>
          </cell>
        </row>
      </sheetData>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COMTA - IAMPP</v>
          </cell>
        </row>
        <row r="4">
          <cell r="C4" t="str">
            <v>Tacuarembo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14330721</v>
          </cell>
        </row>
        <row r="7">
          <cell r="D7">
            <v>0</v>
          </cell>
        </row>
        <row r="8">
          <cell r="D8">
            <v>5785878</v>
          </cell>
        </row>
        <row r="9">
          <cell r="D9">
            <v>0</v>
          </cell>
        </row>
        <row r="10">
          <cell r="D10">
            <v>164195</v>
          </cell>
        </row>
        <row r="11">
          <cell r="D11">
            <v>3946798</v>
          </cell>
        </row>
        <row r="12">
          <cell r="D12">
            <v>880133</v>
          </cell>
        </row>
        <row r="13">
          <cell r="D13">
            <v>425549</v>
          </cell>
        </row>
        <row r="14">
          <cell r="D14">
            <v>2053164</v>
          </cell>
        </row>
        <row r="15">
          <cell r="D15">
            <v>0</v>
          </cell>
        </row>
        <row r="16">
          <cell r="D16">
            <v>1974266</v>
          </cell>
        </row>
        <row r="17">
          <cell r="D17">
            <v>0</v>
          </cell>
        </row>
        <row r="18">
          <cell r="D18">
            <v>0</v>
          </cell>
        </row>
        <row r="19">
          <cell r="D19">
            <v>29560704</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3">
          <cell r="C3" t="str">
            <v>IAC</v>
          </cell>
        </row>
        <row r="4">
          <cell r="C4" t="str">
            <v>Treinta y Tres</v>
          </cell>
        </row>
      </sheetData>
      <sheetData sheetId="2">
        <row r="6">
          <cell r="D6">
            <v>2021</v>
          </cell>
        </row>
      </sheetData>
      <sheetData sheetId="3"/>
      <sheetData sheetId="4"/>
      <sheetData sheetId="5"/>
      <sheetData sheetId="6"/>
      <sheetData sheetId="7"/>
      <sheetData sheetId="8"/>
      <sheetData sheetId="9">
        <row r="6">
          <cell r="D6">
            <v>5258062</v>
          </cell>
        </row>
        <row r="7">
          <cell r="D7">
            <v>0</v>
          </cell>
        </row>
        <row r="8">
          <cell r="D8">
            <v>3184099</v>
          </cell>
        </row>
        <row r="9">
          <cell r="D9">
            <v>1491</v>
          </cell>
        </row>
        <row r="10">
          <cell r="D10">
            <v>397989</v>
          </cell>
        </row>
        <row r="11">
          <cell r="D11">
            <v>414709</v>
          </cell>
        </row>
        <row r="12">
          <cell r="D12">
            <v>184278</v>
          </cell>
        </row>
        <row r="13">
          <cell r="D13">
            <v>826164</v>
          </cell>
        </row>
        <row r="14">
          <cell r="D14">
            <v>959221</v>
          </cell>
        </row>
        <row r="15">
          <cell r="D15">
            <v>0</v>
          </cell>
        </row>
        <row r="16">
          <cell r="D16">
            <v>397250</v>
          </cell>
        </row>
        <row r="17">
          <cell r="D17">
            <v>0</v>
          </cell>
        </row>
        <row r="18">
          <cell r="D18">
            <v>0</v>
          </cell>
        </row>
        <row r="19">
          <cell r="D19">
            <v>11623263</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row r="33">
          <cell r="D33">
            <v>0</v>
          </cell>
        </row>
      </sheetData>
      <sheetData sheetId="10"/>
      <sheetData sheetId="11"/>
      <sheetData sheetId="12"/>
      <sheetData sheetId="1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sheetData sheetId="1">
        <row r="3">
          <cell r="C3" t="str">
            <v>IAC</v>
          </cell>
        </row>
      </sheetData>
      <sheetData sheetId="2">
        <row r="6">
          <cell r="D6">
            <v>2021</v>
          </cell>
        </row>
      </sheetData>
      <sheetData sheetId="3"/>
      <sheetData sheetId="4"/>
      <sheetData sheetId="5"/>
      <sheetData sheetId="6"/>
      <sheetData sheetId="7"/>
      <sheetData sheetId="8"/>
      <sheetData sheetId="9">
        <row r="6">
          <cell r="D6">
            <v>5258062</v>
          </cell>
        </row>
        <row r="7">
          <cell r="D7">
            <v>0</v>
          </cell>
        </row>
        <row r="8">
          <cell r="D8">
            <v>3184099</v>
          </cell>
        </row>
        <row r="9">
          <cell r="D9">
            <v>1491</v>
          </cell>
        </row>
        <row r="10">
          <cell r="D10">
            <v>397989</v>
          </cell>
        </row>
        <row r="11">
          <cell r="D11">
            <v>414709</v>
          </cell>
        </row>
        <row r="12">
          <cell r="D12">
            <v>184278</v>
          </cell>
        </row>
        <row r="13">
          <cell r="D13">
            <v>826164</v>
          </cell>
        </row>
        <row r="14">
          <cell r="D14">
            <v>959221</v>
          </cell>
        </row>
        <row r="15">
          <cell r="D15">
            <v>0</v>
          </cell>
        </row>
        <row r="16">
          <cell r="D16">
            <v>397250</v>
          </cell>
        </row>
        <row r="17">
          <cell r="D17">
            <v>0</v>
          </cell>
        </row>
        <row r="18">
          <cell r="D18">
            <v>0</v>
          </cell>
        </row>
        <row r="22">
          <cell r="D22">
            <v>0</v>
          </cell>
        </row>
        <row r="23">
          <cell r="D23">
            <v>0</v>
          </cell>
        </row>
        <row r="24">
          <cell r="D24">
            <v>0</v>
          </cell>
        </row>
        <row r="25">
          <cell r="D25">
            <v>0</v>
          </cell>
        </row>
        <row r="27">
          <cell r="D27">
            <v>0</v>
          </cell>
        </row>
        <row r="28">
          <cell r="D28">
            <v>0</v>
          </cell>
        </row>
        <row r="29">
          <cell r="D29">
            <v>0</v>
          </cell>
        </row>
        <row r="30">
          <cell r="D30">
            <v>0</v>
          </cell>
        </row>
        <row r="31">
          <cell r="D31">
            <v>0</v>
          </cell>
        </row>
        <row r="32">
          <cell r="D32">
            <v>0</v>
          </cell>
        </row>
      </sheetData>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MHE</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11174220</v>
          </cell>
        </row>
        <row r="7">
          <cell r="D7">
            <v>0</v>
          </cell>
        </row>
        <row r="8">
          <cell r="D8">
            <v>4112276</v>
          </cell>
        </row>
        <row r="9">
          <cell r="D9">
            <v>19104</v>
          </cell>
        </row>
        <row r="10">
          <cell r="D10">
            <v>775462</v>
          </cell>
        </row>
        <row r="11">
          <cell r="D11">
            <v>657846</v>
          </cell>
        </row>
        <row r="14">
          <cell r="D14">
            <v>3158016</v>
          </cell>
        </row>
        <row r="15">
          <cell r="D15">
            <v>0</v>
          </cell>
        </row>
        <row r="16">
          <cell r="D16">
            <v>4319128</v>
          </cell>
        </row>
        <row r="17">
          <cell r="D17">
            <v>0</v>
          </cell>
        </row>
        <row r="18">
          <cell r="D18">
            <v>0</v>
          </cell>
        </row>
        <row r="19">
          <cell r="D19">
            <v>24216052</v>
          </cell>
        </row>
        <row r="22">
          <cell r="D22">
            <v>3208954</v>
          </cell>
        </row>
        <row r="23">
          <cell r="D23">
            <v>323039</v>
          </cell>
        </row>
        <row r="24">
          <cell r="D24">
            <v>0</v>
          </cell>
        </row>
        <row r="25">
          <cell r="D25">
            <v>0</v>
          </cell>
        </row>
        <row r="27">
          <cell r="D27">
            <v>0</v>
          </cell>
        </row>
        <row r="28">
          <cell r="D28">
            <v>0</v>
          </cell>
        </row>
        <row r="29">
          <cell r="D29">
            <v>0</v>
          </cell>
        </row>
        <row r="30">
          <cell r="D30">
            <v>0</v>
          </cell>
        </row>
        <row r="31">
          <cell r="D31">
            <v>0</v>
          </cell>
        </row>
        <row r="32">
          <cell r="D32">
            <v>0</v>
          </cell>
        </row>
        <row r="33">
          <cell r="D33">
            <v>3531993</v>
          </cell>
        </row>
      </sheetData>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CASMU IAMPP</v>
          </cell>
        </row>
        <row r="4">
          <cell r="C4" t="str">
            <v xml:space="preserve">Montevideo </v>
          </cell>
        </row>
      </sheetData>
      <sheetData sheetId="2">
        <row r="6">
          <cell r="D6">
            <v>2021</v>
          </cell>
        </row>
      </sheetData>
      <sheetData sheetId="3"/>
      <sheetData sheetId="4">
        <row r="32">
          <cell r="E32">
            <v>74400746</v>
          </cell>
        </row>
      </sheetData>
      <sheetData sheetId="5" refreshError="1"/>
      <sheetData sheetId="6" refreshError="1"/>
      <sheetData sheetId="7" refreshError="1"/>
      <sheetData sheetId="8" refreshError="1"/>
      <sheetData sheetId="9">
        <row r="6">
          <cell r="D6">
            <v>154749488</v>
          </cell>
        </row>
        <row r="7">
          <cell r="D7">
            <v>0</v>
          </cell>
        </row>
        <row r="8">
          <cell r="D8">
            <v>6390503</v>
          </cell>
        </row>
        <row r="9">
          <cell r="D9">
            <v>0</v>
          </cell>
        </row>
        <row r="10">
          <cell r="D10">
            <v>53137485</v>
          </cell>
        </row>
        <row r="11">
          <cell r="D11">
            <v>0</v>
          </cell>
        </row>
        <row r="12">
          <cell r="D12">
            <v>0</v>
          </cell>
        </row>
        <row r="13">
          <cell r="D13">
            <v>4024760</v>
          </cell>
        </row>
        <row r="14">
          <cell r="D14">
            <v>23122365</v>
          </cell>
        </row>
        <row r="15">
          <cell r="D15">
            <v>0</v>
          </cell>
        </row>
        <row r="16">
          <cell r="D16">
            <v>20767595</v>
          </cell>
        </row>
        <row r="17">
          <cell r="D17">
            <v>3863567</v>
          </cell>
        </row>
        <row r="18">
          <cell r="D18">
            <v>0</v>
          </cell>
        </row>
        <row r="19">
          <cell r="D19">
            <v>266055763</v>
          </cell>
        </row>
        <row r="22">
          <cell r="D22">
            <v>0</v>
          </cell>
        </row>
        <row r="23">
          <cell r="D23">
            <v>185672</v>
          </cell>
        </row>
        <row r="24">
          <cell r="D24">
            <v>1066693</v>
          </cell>
        </row>
        <row r="25">
          <cell r="D25">
            <v>0</v>
          </cell>
        </row>
        <row r="27">
          <cell r="D27">
            <v>0</v>
          </cell>
        </row>
        <row r="28">
          <cell r="D28">
            <v>0</v>
          </cell>
        </row>
        <row r="29">
          <cell r="D29">
            <v>0</v>
          </cell>
        </row>
        <row r="30">
          <cell r="D30">
            <v>958062</v>
          </cell>
        </row>
        <row r="31">
          <cell r="D31">
            <v>7138984</v>
          </cell>
        </row>
        <row r="32">
          <cell r="D32">
            <v>2451366</v>
          </cell>
        </row>
        <row r="33">
          <cell r="D33">
            <v>11800777</v>
          </cell>
        </row>
      </sheetData>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CCOU</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37375913</v>
          </cell>
        </row>
        <row r="7">
          <cell r="D7">
            <v>0</v>
          </cell>
        </row>
        <row r="8">
          <cell r="D8">
            <v>13160446</v>
          </cell>
        </row>
        <row r="9">
          <cell r="D9">
            <v>0</v>
          </cell>
        </row>
        <row r="10">
          <cell r="D10">
            <v>3250135</v>
          </cell>
        </row>
        <row r="11">
          <cell r="D11">
            <v>1848106</v>
          </cell>
        </row>
        <row r="12">
          <cell r="D12">
            <v>3619510</v>
          </cell>
        </row>
        <row r="13">
          <cell r="D13">
            <v>0</v>
          </cell>
        </row>
        <row r="14">
          <cell r="D14">
            <v>8742293</v>
          </cell>
        </row>
        <row r="15">
          <cell r="D15">
            <v>0</v>
          </cell>
        </row>
        <row r="16">
          <cell r="D16">
            <v>2046320</v>
          </cell>
        </row>
        <row r="17">
          <cell r="D17">
            <v>0</v>
          </cell>
        </row>
        <row r="18">
          <cell r="D18">
            <v>0</v>
          </cell>
        </row>
        <row r="19">
          <cell r="D19">
            <v>70042723</v>
          </cell>
        </row>
        <row r="22">
          <cell r="D22">
            <v>261841</v>
          </cell>
        </row>
        <row r="23">
          <cell r="D23">
            <v>0</v>
          </cell>
        </row>
        <row r="24">
          <cell r="D24">
            <v>805247</v>
          </cell>
        </row>
        <row r="25">
          <cell r="D25">
            <v>0</v>
          </cell>
        </row>
        <row r="27">
          <cell r="D27">
            <v>0</v>
          </cell>
        </row>
        <row r="28">
          <cell r="D28">
            <v>0</v>
          </cell>
        </row>
        <row r="29">
          <cell r="D29">
            <v>0</v>
          </cell>
        </row>
        <row r="30">
          <cell r="D30">
            <v>664004</v>
          </cell>
        </row>
        <row r="31">
          <cell r="D31">
            <v>1564601</v>
          </cell>
        </row>
        <row r="32">
          <cell r="D32">
            <v>0</v>
          </cell>
        </row>
        <row r="33">
          <cell r="D33">
            <v>3295693</v>
          </cell>
        </row>
      </sheetData>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CUDAM</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11734449</v>
          </cell>
        </row>
        <row r="7">
          <cell r="D7">
            <v>0</v>
          </cell>
        </row>
        <row r="8">
          <cell r="D8">
            <v>6601742</v>
          </cell>
        </row>
        <row r="9">
          <cell r="D9">
            <v>0</v>
          </cell>
        </row>
        <row r="10">
          <cell r="D10">
            <v>139386</v>
          </cell>
        </row>
        <row r="11">
          <cell r="D11">
            <v>45091</v>
          </cell>
        </row>
        <row r="12">
          <cell r="D12">
            <v>1016154</v>
          </cell>
        </row>
        <row r="13">
          <cell r="D13">
            <v>836471</v>
          </cell>
        </row>
        <row r="14">
          <cell r="D14">
            <v>2067388</v>
          </cell>
        </row>
        <row r="15">
          <cell r="D15">
            <v>0</v>
          </cell>
        </row>
        <row r="16">
          <cell r="D16">
            <v>904306</v>
          </cell>
        </row>
        <row r="17">
          <cell r="D17">
            <v>0</v>
          </cell>
        </row>
        <row r="18">
          <cell r="D18">
            <v>0</v>
          </cell>
        </row>
        <row r="19">
          <cell r="D19">
            <v>23344987</v>
          </cell>
        </row>
        <row r="22">
          <cell r="D22">
            <v>254038</v>
          </cell>
        </row>
        <row r="23">
          <cell r="D23">
            <v>92941</v>
          </cell>
        </row>
        <row r="24">
          <cell r="D24">
            <v>42192</v>
          </cell>
        </row>
        <row r="25">
          <cell r="D25">
            <v>0</v>
          </cell>
        </row>
        <row r="27">
          <cell r="D27">
            <v>0</v>
          </cell>
        </row>
        <row r="28">
          <cell r="D28">
            <v>0</v>
          </cell>
        </row>
        <row r="29">
          <cell r="D29">
            <v>0</v>
          </cell>
        </row>
        <row r="30">
          <cell r="D30">
            <v>226077</v>
          </cell>
        </row>
        <row r="31">
          <cell r="D31">
            <v>239479</v>
          </cell>
        </row>
        <row r="32">
          <cell r="D32">
            <v>34847</v>
          </cell>
        </row>
        <row r="33">
          <cell r="D33">
            <v>889574</v>
          </cell>
        </row>
      </sheetData>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COSEM - IAMPP</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23616726</v>
          </cell>
        </row>
        <row r="7">
          <cell r="D7">
            <v>0</v>
          </cell>
        </row>
        <row r="8">
          <cell r="D8">
            <v>4146906</v>
          </cell>
        </row>
        <row r="9">
          <cell r="D9">
            <v>0</v>
          </cell>
        </row>
        <row r="10">
          <cell r="D10">
            <v>0</v>
          </cell>
        </row>
        <row r="11">
          <cell r="D11">
            <v>0</v>
          </cell>
        </row>
        <row r="12">
          <cell r="D12">
            <v>12911500</v>
          </cell>
        </row>
        <row r="13">
          <cell r="D13">
            <v>0</v>
          </cell>
        </row>
        <row r="14">
          <cell r="D14">
            <v>0</v>
          </cell>
        </row>
        <row r="15">
          <cell r="D15">
            <v>0</v>
          </cell>
        </row>
        <row r="16">
          <cell r="D16">
            <v>0</v>
          </cell>
        </row>
        <row r="17">
          <cell r="D17">
            <v>0</v>
          </cell>
        </row>
        <row r="18">
          <cell r="D18">
            <v>0</v>
          </cell>
        </row>
        <row r="19">
          <cell r="D19">
            <v>40675132</v>
          </cell>
        </row>
        <row r="22">
          <cell r="D22">
            <v>0</v>
          </cell>
        </row>
        <row r="23">
          <cell r="D23">
            <v>0</v>
          </cell>
        </row>
        <row r="24">
          <cell r="D24">
            <v>2840570</v>
          </cell>
        </row>
        <row r="25">
          <cell r="D25">
            <v>0</v>
          </cell>
        </row>
        <row r="27">
          <cell r="D27">
            <v>0</v>
          </cell>
        </row>
        <row r="28">
          <cell r="D28">
            <v>0</v>
          </cell>
        </row>
        <row r="29">
          <cell r="D29">
            <v>11698</v>
          </cell>
        </row>
        <row r="30">
          <cell r="D30">
            <v>18699737</v>
          </cell>
        </row>
        <row r="31">
          <cell r="D31">
            <v>0</v>
          </cell>
        </row>
        <row r="32">
          <cell r="D32">
            <v>0</v>
          </cell>
        </row>
        <row r="33">
          <cell r="D33">
            <v>21552005</v>
          </cell>
        </row>
      </sheetData>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resentacion"/>
      <sheetName val="E.S.P."/>
      <sheetName val="E.R."/>
      <sheetName val="E.C.P"/>
      <sheetName val="E.F.E"/>
      <sheetName val="Detalle Activo"/>
      <sheetName val="Detalle Pasivo"/>
      <sheetName val="Bs de Uso"/>
      <sheetName val="Amortizaciones"/>
      <sheetName val="Resumen"/>
      <sheetName val="Verificaciones"/>
      <sheetName val="Parametros"/>
      <sheetName val="Hoja2"/>
    </sheetNames>
    <sheetDataSet>
      <sheetData sheetId="0" refreshError="1"/>
      <sheetData sheetId="1">
        <row r="3">
          <cell r="C3" t="str">
            <v>GREMCA</v>
          </cell>
        </row>
        <row r="4">
          <cell r="C4" t="str">
            <v>Montevideo</v>
          </cell>
        </row>
      </sheetData>
      <sheetData sheetId="2">
        <row r="6">
          <cell r="D6">
            <v>2021</v>
          </cell>
        </row>
      </sheetData>
      <sheetData sheetId="3"/>
      <sheetData sheetId="4" refreshError="1"/>
      <sheetData sheetId="5" refreshError="1"/>
      <sheetData sheetId="6" refreshError="1"/>
      <sheetData sheetId="7" refreshError="1"/>
      <sheetData sheetId="8" refreshError="1"/>
      <sheetData sheetId="9">
        <row r="6">
          <cell r="D6">
            <v>9719073</v>
          </cell>
        </row>
        <row r="7">
          <cell r="D7">
            <v>0</v>
          </cell>
        </row>
        <row r="8">
          <cell r="D8">
            <v>1708894</v>
          </cell>
        </row>
        <row r="9">
          <cell r="D9">
            <v>0</v>
          </cell>
        </row>
        <row r="10">
          <cell r="D10">
            <v>237286</v>
          </cell>
        </row>
        <row r="11">
          <cell r="D11">
            <v>398587</v>
          </cell>
        </row>
        <row r="12">
          <cell r="D12">
            <v>1776159</v>
          </cell>
        </row>
        <row r="13">
          <cell r="D13">
            <v>0</v>
          </cell>
        </row>
        <row r="14">
          <cell r="D14">
            <v>893955</v>
          </cell>
        </row>
        <row r="15">
          <cell r="D15">
            <v>59687</v>
          </cell>
        </row>
        <row r="16">
          <cell r="D16">
            <v>554634</v>
          </cell>
        </row>
        <row r="17">
          <cell r="D17">
            <v>0</v>
          </cell>
        </row>
        <row r="18">
          <cell r="D18">
            <v>0</v>
          </cell>
        </row>
        <row r="19">
          <cell r="D19">
            <v>15348275</v>
          </cell>
        </row>
        <row r="22">
          <cell r="D22">
            <v>93482</v>
          </cell>
        </row>
        <row r="23">
          <cell r="D23">
            <v>0</v>
          </cell>
        </row>
        <row r="24">
          <cell r="D24">
            <v>47051</v>
          </cell>
        </row>
        <row r="25">
          <cell r="D25">
            <v>3140</v>
          </cell>
        </row>
        <row r="27">
          <cell r="D27">
            <v>0</v>
          </cell>
        </row>
        <row r="28">
          <cell r="D28">
            <v>0</v>
          </cell>
        </row>
        <row r="29">
          <cell r="D29">
            <v>0</v>
          </cell>
        </row>
        <row r="30">
          <cell r="D30">
            <v>29191</v>
          </cell>
        </row>
        <row r="31">
          <cell r="D31">
            <v>0</v>
          </cell>
        </row>
        <row r="32">
          <cell r="D32">
            <v>0</v>
          </cell>
        </row>
        <row r="33">
          <cell r="D33">
            <v>172864</v>
          </cell>
        </row>
      </sheetData>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tabSelected="1" zoomScaleNormal="100" zoomScaleSheetLayoutView="100" workbookViewId="0">
      <selection activeCell="D73" sqref="D73"/>
    </sheetView>
  </sheetViews>
  <sheetFormatPr baseColWidth="10" defaultColWidth="0" defaultRowHeight="15.75" zeroHeight="1"/>
  <cols>
    <col min="1" max="1" width="3" style="1" customWidth="1"/>
    <col min="2" max="2" width="14.28515625" style="6" hidden="1" customWidth="1"/>
    <col min="3" max="3" width="57.7109375" style="19" customWidth="1"/>
    <col min="4" max="4" width="21" style="19" customWidth="1"/>
    <col min="5" max="5" width="3.85546875" style="13" customWidth="1"/>
    <col min="6" max="6" width="57.28515625" style="19" customWidth="1"/>
    <col min="7" max="7" width="21" style="19" customWidth="1"/>
    <col min="8" max="8" width="5.140625" style="4" customWidth="1"/>
    <col min="9" max="16384" width="0" style="4" hidden="1"/>
  </cols>
  <sheetData>
    <row r="1" spans="1:9">
      <c r="B1" s="2"/>
      <c r="C1" s="69"/>
      <c r="D1" s="70" t="s">
        <v>0</v>
      </c>
      <c r="E1" s="253" t="str">
        <f>[3]Presentacion!C3</f>
        <v>ASESP</v>
      </c>
      <c r="F1" s="253"/>
      <c r="G1" s="71"/>
      <c r="H1" s="3"/>
    </row>
    <row r="2" spans="1:9">
      <c r="B2" s="5"/>
      <c r="C2" s="69"/>
      <c r="D2" s="70" t="s">
        <v>1</v>
      </c>
      <c r="E2" s="253" t="str">
        <f>[3]Presentacion!C4</f>
        <v>Montevideo</v>
      </c>
      <c r="F2" s="253"/>
      <c r="G2" s="71"/>
      <c r="H2" s="3"/>
    </row>
    <row r="3" spans="1:9">
      <c r="B3" s="5"/>
      <c r="C3" s="255" t="s">
        <v>2</v>
      </c>
      <c r="D3" s="255"/>
      <c r="E3" s="254" t="s">
        <v>3</v>
      </c>
      <c r="F3" s="254"/>
      <c r="G3" s="71"/>
      <c r="H3" s="3"/>
    </row>
    <row r="4" spans="1:9" ht="11.25" customHeight="1" thickBot="1">
      <c r="C4" s="65"/>
      <c r="D4" s="7"/>
      <c r="E4" s="8"/>
      <c r="F4" s="9"/>
      <c r="G4" s="10"/>
    </row>
    <row r="5" spans="1:9" ht="17.25" customHeight="1" thickBot="1">
      <c r="B5" s="11"/>
      <c r="C5" s="72" t="s">
        <v>4</v>
      </c>
      <c r="D5" s="73" t="s">
        <v>5</v>
      </c>
      <c r="E5" s="74"/>
      <c r="F5" s="72" t="s">
        <v>6</v>
      </c>
      <c r="G5" s="73" t="s">
        <v>5</v>
      </c>
      <c r="I5" s="12"/>
    </row>
    <row r="6" spans="1:9" ht="15" customHeight="1" thickBot="1">
      <c r="B6" s="11"/>
      <c r="C6" s="75" t="s">
        <v>7</v>
      </c>
      <c r="D6" s="76">
        <f>+[3]E.S.P.!D6</f>
        <v>2021</v>
      </c>
      <c r="E6" s="77"/>
      <c r="F6" s="75" t="s">
        <v>8</v>
      </c>
      <c r="G6" s="76">
        <f>+D6</f>
        <v>2021</v>
      </c>
      <c r="H6" s="12"/>
    </row>
    <row r="7" spans="1:9">
      <c r="B7" s="5" t="s">
        <v>9</v>
      </c>
      <c r="C7" s="78" t="s">
        <v>10</v>
      </c>
      <c r="D7" s="79">
        <v>336468442</v>
      </c>
      <c r="E7" s="77" t="s">
        <v>11</v>
      </c>
      <c r="F7" s="80" t="s">
        <v>12</v>
      </c>
      <c r="G7" s="81">
        <v>19629719</v>
      </c>
    </row>
    <row r="8" spans="1:9">
      <c r="B8" s="5" t="s">
        <v>13</v>
      </c>
      <c r="C8" s="78" t="s">
        <v>14</v>
      </c>
      <c r="D8" s="79">
        <v>135865360</v>
      </c>
      <c r="E8" s="77" t="s">
        <v>15</v>
      </c>
      <c r="F8" s="78" t="s">
        <v>16</v>
      </c>
      <c r="G8" s="82">
        <v>576485922</v>
      </c>
    </row>
    <row r="9" spans="1:9">
      <c r="B9" s="5" t="s">
        <v>17</v>
      </c>
      <c r="C9" s="78" t="s">
        <v>18</v>
      </c>
      <c r="D9" s="79">
        <v>6381193951</v>
      </c>
      <c r="E9" s="77" t="s">
        <v>19</v>
      </c>
      <c r="F9" s="78" t="s">
        <v>20</v>
      </c>
      <c r="G9" s="79">
        <v>101320501</v>
      </c>
    </row>
    <row r="10" spans="1:9">
      <c r="B10" s="5" t="s">
        <v>21</v>
      </c>
      <c r="C10" s="78" t="s">
        <v>22</v>
      </c>
      <c r="D10" s="79">
        <v>453131857</v>
      </c>
      <c r="E10" s="77" t="s">
        <v>23</v>
      </c>
      <c r="F10" s="78" t="s">
        <v>24</v>
      </c>
      <c r="G10" s="79">
        <v>1792555703</v>
      </c>
    </row>
    <row r="11" spans="1:9">
      <c r="B11" s="5" t="s">
        <v>25</v>
      </c>
      <c r="C11" s="78" t="s">
        <v>26</v>
      </c>
      <c r="D11" s="79">
        <v>118493568</v>
      </c>
      <c r="E11" s="77" t="s">
        <v>27</v>
      </c>
      <c r="F11" s="78" t="s">
        <v>28</v>
      </c>
      <c r="G11" s="79">
        <v>257054148</v>
      </c>
    </row>
    <row r="12" spans="1:9">
      <c r="B12" s="5" t="s">
        <v>29</v>
      </c>
      <c r="C12" s="78" t="s">
        <v>30</v>
      </c>
      <c r="D12" s="79">
        <v>259195236</v>
      </c>
      <c r="E12" s="77" t="s">
        <v>31</v>
      </c>
      <c r="F12" s="78" t="s">
        <v>32</v>
      </c>
      <c r="G12" s="79">
        <v>638908413</v>
      </c>
    </row>
    <row r="13" spans="1:9">
      <c r="B13" s="5" t="s">
        <v>33</v>
      </c>
      <c r="C13" s="78" t="s">
        <v>34</v>
      </c>
      <c r="D13" s="79">
        <v>0</v>
      </c>
      <c r="E13" s="77" t="s">
        <v>35</v>
      </c>
      <c r="F13" s="78" t="s">
        <v>36</v>
      </c>
      <c r="G13" s="79">
        <v>44979697</v>
      </c>
    </row>
    <row r="14" spans="1:9">
      <c r="A14" s="14"/>
      <c r="B14" s="5" t="s">
        <v>37</v>
      </c>
      <c r="C14" s="78" t="s">
        <v>38</v>
      </c>
      <c r="D14" s="79">
        <v>0</v>
      </c>
      <c r="E14" s="77" t="s">
        <v>39</v>
      </c>
      <c r="F14" s="78" t="s">
        <v>40</v>
      </c>
      <c r="G14" s="79">
        <v>1130409837</v>
      </c>
    </row>
    <row r="15" spans="1:9">
      <c r="B15" s="5" t="s">
        <v>41</v>
      </c>
      <c r="C15" s="83" t="s">
        <v>42</v>
      </c>
      <c r="D15" s="79">
        <v>0</v>
      </c>
      <c r="E15" s="77" t="s">
        <v>43</v>
      </c>
      <c r="F15" s="78" t="s">
        <v>44</v>
      </c>
      <c r="G15" s="79">
        <v>495163911</v>
      </c>
    </row>
    <row r="16" spans="1:9">
      <c r="B16" s="5" t="s">
        <v>45</v>
      </c>
      <c r="C16" s="78" t="s">
        <v>46</v>
      </c>
      <c r="D16" s="79">
        <v>0</v>
      </c>
      <c r="E16" s="77" t="s">
        <v>47</v>
      </c>
      <c r="F16" s="78" t="s">
        <v>48</v>
      </c>
      <c r="G16" s="79">
        <v>400395965</v>
      </c>
    </row>
    <row r="17" spans="1:7">
      <c r="B17" s="5" t="s">
        <v>49</v>
      </c>
      <c r="C17" s="78" t="s">
        <v>50</v>
      </c>
      <c r="D17" s="79">
        <v>0</v>
      </c>
      <c r="E17" s="77" t="s">
        <v>51</v>
      </c>
      <c r="F17" s="78" t="s">
        <v>52</v>
      </c>
      <c r="G17" s="79">
        <v>0</v>
      </c>
    </row>
    <row r="18" spans="1:7">
      <c r="A18" s="14"/>
      <c r="B18" s="5" t="s">
        <v>53</v>
      </c>
      <c r="C18" s="78" t="s">
        <v>54</v>
      </c>
      <c r="D18" s="79">
        <v>260141007</v>
      </c>
      <c r="E18" s="77" t="s">
        <v>55</v>
      </c>
      <c r="F18" s="78" t="s">
        <v>56</v>
      </c>
      <c r="G18" s="84">
        <v>191257028</v>
      </c>
    </row>
    <row r="19" spans="1:7" ht="16.5" thickBot="1">
      <c r="A19" s="14"/>
      <c r="B19" s="5" t="s">
        <v>57</v>
      </c>
      <c r="C19" s="78" t="s">
        <v>58</v>
      </c>
      <c r="D19" s="79">
        <v>273301869</v>
      </c>
      <c r="E19" s="77"/>
      <c r="F19" s="85" t="s">
        <v>59</v>
      </c>
      <c r="G19" s="86">
        <f>SUM(G7:G18)</f>
        <v>5648160844</v>
      </c>
    </row>
    <row r="20" spans="1:7" ht="16.5" thickBot="1">
      <c r="B20" s="5"/>
      <c r="C20" s="85" t="s">
        <v>60</v>
      </c>
      <c r="D20" s="86">
        <f>SUM(D7:D19)</f>
        <v>8217791290</v>
      </c>
      <c r="E20" s="77" t="s">
        <v>61</v>
      </c>
      <c r="F20" s="80" t="s">
        <v>62</v>
      </c>
      <c r="G20" s="81">
        <v>8307544</v>
      </c>
    </row>
    <row r="21" spans="1:7">
      <c r="B21" s="5"/>
      <c r="C21" s="87" t="s">
        <v>63</v>
      </c>
      <c r="D21" s="88">
        <f>SUM(D22:D28)</f>
        <v>116089209</v>
      </c>
      <c r="E21" s="77" t="s">
        <v>64</v>
      </c>
      <c r="F21" s="78" t="s">
        <v>65</v>
      </c>
      <c r="G21" s="79">
        <v>145210413</v>
      </c>
    </row>
    <row r="22" spans="1:7">
      <c r="B22" s="5" t="s">
        <v>66</v>
      </c>
      <c r="C22" s="78" t="s">
        <v>67</v>
      </c>
      <c r="D22" s="79">
        <v>57867844</v>
      </c>
      <c r="E22" s="77" t="s">
        <v>68</v>
      </c>
      <c r="F22" s="78" t="s">
        <v>69</v>
      </c>
      <c r="G22" s="79">
        <v>128960272</v>
      </c>
    </row>
    <row r="23" spans="1:7">
      <c r="B23" s="5" t="s">
        <v>70</v>
      </c>
      <c r="C23" s="78" t="s">
        <v>71</v>
      </c>
      <c r="D23" s="79">
        <v>12988150</v>
      </c>
      <c r="E23" s="77" t="s">
        <v>72</v>
      </c>
      <c r="F23" s="78" t="s">
        <v>73</v>
      </c>
      <c r="G23" s="79">
        <v>0</v>
      </c>
    </row>
    <row r="24" spans="1:7">
      <c r="B24" s="5" t="s">
        <v>74</v>
      </c>
      <c r="C24" s="78" t="s">
        <v>75</v>
      </c>
      <c r="D24" s="79">
        <v>19133729</v>
      </c>
      <c r="E24" s="77" t="s">
        <v>76</v>
      </c>
      <c r="F24" s="78" t="s">
        <v>77</v>
      </c>
      <c r="G24" s="79">
        <v>0</v>
      </c>
    </row>
    <row r="25" spans="1:7">
      <c r="B25" s="5" t="s">
        <v>78</v>
      </c>
      <c r="C25" s="78" t="s">
        <v>79</v>
      </c>
      <c r="D25" s="79">
        <v>13202971</v>
      </c>
      <c r="E25" s="77" t="s">
        <v>80</v>
      </c>
      <c r="F25" s="78" t="s">
        <v>81</v>
      </c>
      <c r="G25" s="79">
        <v>42387902</v>
      </c>
    </row>
    <row r="26" spans="1:7">
      <c r="B26" s="5" t="s">
        <v>82</v>
      </c>
      <c r="C26" s="78" t="s">
        <v>83</v>
      </c>
      <c r="D26" s="79">
        <v>1524918</v>
      </c>
      <c r="E26" s="77" t="s">
        <v>84</v>
      </c>
      <c r="F26" s="78" t="s">
        <v>85</v>
      </c>
      <c r="G26" s="84">
        <v>10578502</v>
      </c>
    </row>
    <row r="27" spans="1:7" ht="13.5" customHeight="1" thickBot="1">
      <c r="B27" s="5" t="s">
        <v>86</v>
      </c>
      <c r="C27" s="78" t="s">
        <v>87</v>
      </c>
      <c r="D27" s="79">
        <v>7607078</v>
      </c>
      <c r="E27" s="77"/>
      <c r="F27" s="85" t="s">
        <v>88</v>
      </c>
      <c r="G27" s="86">
        <f>SUM(G20:G26)</f>
        <v>335444633</v>
      </c>
    </row>
    <row r="28" spans="1:7">
      <c r="B28" s="5" t="s">
        <v>89</v>
      </c>
      <c r="C28" s="78" t="s">
        <v>90</v>
      </c>
      <c r="D28" s="79">
        <v>3764519</v>
      </c>
      <c r="E28" s="77" t="s">
        <v>91</v>
      </c>
      <c r="F28" s="80" t="s">
        <v>92</v>
      </c>
      <c r="G28" s="81">
        <v>79928837</v>
      </c>
    </row>
    <row r="29" spans="1:7">
      <c r="B29" s="5"/>
      <c r="C29" s="89" t="s">
        <v>93</v>
      </c>
      <c r="D29" s="88">
        <f>SUM(D30:D34)</f>
        <v>791263846</v>
      </c>
      <c r="E29" s="77" t="s">
        <v>94</v>
      </c>
      <c r="F29" s="78" t="s">
        <v>95</v>
      </c>
      <c r="G29" s="79">
        <v>0</v>
      </c>
    </row>
    <row r="30" spans="1:7">
      <c r="B30" s="5" t="s">
        <v>96</v>
      </c>
      <c r="C30" s="78" t="s">
        <v>97</v>
      </c>
      <c r="D30" s="79">
        <v>532125168</v>
      </c>
      <c r="E30" s="77" t="s">
        <v>98</v>
      </c>
      <c r="F30" s="78" t="s">
        <v>99</v>
      </c>
      <c r="G30" s="79">
        <v>0</v>
      </c>
    </row>
    <row r="31" spans="1:7">
      <c r="B31" s="5" t="s">
        <v>100</v>
      </c>
      <c r="C31" s="78" t="s">
        <v>101</v>
      </c>
      <c r="D31" s="79">
        <v>127773455</v>
      </c>
      <c r="E31" s="77" t="s">
        <v>102</v>
      </c>
      <c r="F31" s="78" t="s">
        <v>103</v>
      </c>
      <c r="G31" s="84">
        <v>2611443</v>
      </c>
    </row>
    <row r="32" spans="1:7" ht="16.5" thickBot="1">
      <c r="B32" s="5" t="s">
        <v>104</v>
      </c>
      <c r="C32" s="78" t="s">
        <v>105</v>
      </c>
      <c r="D32" s="79">
        <v>78151322</v>
      </c>
      <c r="E32" s="77"/>
      <c r="F32" s="85" t="s">
        <v>106</v>
      </c>
      <c r="G32" s="86">
        <f>SUM(G28:G31)</f>
        <v>82540280</v>
      </c>
    </row>
    <row r="33" spans="2:7">
      <c r="B33" s="5" t="s">
        <v>107</v>
      </c>
      <c r="C33" s="78" t="s">
        <v>108</v>
      </c>
      <c r="D33" s="79">
        <v>27591156</v>
      </c>
      <c r="E33" s="77"/>
      <c r="F33" s="89" t="s">
        <v>109</v>
      </c>
      <c r="G33" s="88">
        <f>SUM(G34:G39)</f>
        <v>835668004</v>
      </c>
    </row>
    <row r="34" spans="2:7">
      <c r="B34" s="5" t="s">
        <v>110</v>
      </c>
      <c r="C34" s="78" t="s">
        <v>111</v>
      </c>
      <c r="D34" s="79">
        <v>25622745</v>
      </c>
      <c r="E34" s="77" t="s">
        <v>112</v>
      </c>
      <c r="F34" s="78" t="s">
        <v>113</v>
      </c>
      <c r="G34" s="79">
        <v>39576306</v>
      </c>
    </row>
    <row r="35" spans="2:7" ht="16.5" thickBot="1">
      <c r="B35" s="5"/>
      <c r="C35" s="85" t="s">
        <v>114</v>
      </c>
      <c r="D35" s="86">
        <f>+D21+D29</f>
        <v>907353055</v>
      </c>
      <c r="E35" s="77" t="s">
        <v>115</v>
      </c>
      <c r="F35" s="78" t="s">
        <v>116</v>
      </c>
      <c r="G35" s="79">
        <v>29323111</v>
      </c>
    </row>
    <row r="36" spans="2:7">
      <c r="B36" s="5" t="s">
        <v>117</v>
      </c>
      <c r="C36" s="78" t="s">
        <v>118</v>
      </c>
      <c r="D36" s="79">
        <v>111222820</v>
      </c>
      <c r="E36" s="77" t="s">
        <v>119</v>
      </c>
      <c r="F36" s="78" t="s">
        <v>517</v>
      </c>
      <c r="G36" s="79">
        <v>11500794</v>
      </c>
    </row>
    <row r="37" spans="2:7">
      <c r="B37" s="5" t="s">
        <v>120</v>
      </c>
      <c r="C37" s="78" t="s">
        <v>121</v>
      </c>
      <c r="D37" s="79">
        <v>215872254</v>
      </c>
      <c r="E37" s="77" t="s">
        <v>122</v>
      </c>
      <c r="F37" s="78" t="s">
        <v>123</v>
      </c>
      <c r="G37" s="79">
        <v>63618217</v>
      </c>
    </row>
    <row r="38" spans="2:7">
      <c r="B38" s="5" t="s">
        <v>124</v>
      </c>
      <c r="C38" s="78" t="s">
        <v>125</v>
      </c>
      <c r="D38" s="79">
        <v>8863280</v>
      </c>
      <c r="E38" s="77" t="s">
        <v>126</v>
      </c>
      <c r="F38" s="78" t="s">
        <v>127</v>
      </c>
      <c r="G38" s="79">
        <v>101192463</v>
      </c>
    </row>
    <row r="39" spans="2:7">
      <c r="B39" s="5" t="s">
        <v>128</v>
      </c>
      <c r="C39" s="78" t="s">
        <v>129</v>
      </c>
      <c r="D39" s="79">
        <v>1636601</v>
      </c>
      <c r="E39" s="77" t="s">
        <v>130</v>
      </c>
      <c r="F39" s="78" t="s">
        <v>131</v>
      </c>
      <c r="G39" s="79">
        <v>590457113</v>
      </c>
    </row>
    <row r="40" spans="2:7">
      <c r="B40" s="5" t="s">
        <v>132</v>
      </c>
      <c r="C40" s="78" t="s">
        <v>133</v>
      </c>
      <c r="D40" s="79">
        <v>0</v>
      </c>
      <c r="E40" s="77"/>
      <c r="F40" s="90" t="s">
        <v>134</v>
      </c>
      <c r="G40" s="91">
        <f>SUM(G41:G46)</f>
        <v>143981629</v>
      </c>
    </row>
    <row r="41" spans="2:7">
      <c r="B41" s="5" t="s">
        <v>135</v>
      </c>
      <c r="C41" s="78" t="s">
        <v>136</v>
      </c>
      <c r="D41" s="79">
        <v>494220170</v>
      </c>
      <c r="E41" s="77" t="s">
        <v>137</v>
      </c>
      <c r="F41" s="78" t="s">
        <v>138</v>
      </c>
      <c r="G41" s="79">
        <v>1475951</v>
      </c>
    </row>
    <row r="42" spans="2:7">
      <c r="B42" s="5" t="s">
        <v>139</v>
      </c>
      <c r="C42" s="78" t="s">
        <v>140</v>
      </c>
      <c r="D42" s="79">
        <v>199286779</v>
      </c>
      <c r="E42" s="77" t="s">
        <v>141</v>
      </c>
      <c r="F42" s="78" t="s">
        <v>142</v>
      </c>
      <c r="G42" s="79">
        <v>139090</v>
      </c>
    </row>
    <row r="43" spans="2:7">
      <c r="B43" s="5" t="s">
        <v>143</v>
      </c>
      <c r="C43" s="78" t="s">
        <v>144</v>
      </c>
      <c r="D43" s="79">
        <v>5398</v>
      </c>
      <c r="E43" s="77" t="s">
        <v>145</v>
      </c>
      <c r="F43" s="78" t="s">
        <v>146</v>
      </c>
      <c r="G43" s="79">
        <v>17666411</v>
      </c>
    </row>
    <row r="44" spans="2:7">
      <c r="B44" s="5" t="s">
        <v>147</v>
      </c>
      <c r="C44" s="78" t="s">
        <v>148</v>
      </c>
      <c r="D44" s="79"/>
      <c r="E44" s="77" t="s">
        <v>149</v>
      </c>
      <c r="F44" s="78" t="s">
        <v>150</v>
      </c>
      <c r="G44" s="79">
        <v>7151498</v>
      </c>
    </row>
    <row r="45" spans="2:7">
      <c r="B45" s="5" t="s">
        <v>151</v>
      </c>
      <c r="C45" s="78" t="s">
        <v>152</v>
      </c>
      <c r="D45" s="79">
        <v>688325803</v>
      </c>
      <c r="E45" s="77" t="s">
        <v>153</v>
      </c>
      <c r="F45" s="78" t="s">
        <v>154</v>
      </c>
      <c r="G45" s="79">
        <v>9161055</v>
      </c>
    </row>
    <row r="46" spans="2:7">
      <c r="B46" s="5" t="s">
        <v>155</v>
      </c>
      <c r="C46" s="78" t="s">
        <v>156</v>
      </c>
      <c r="D46" s="79">
        <v>54579921</v>
      </c>
      <c r="E46" s="77" t="s">
        <v>157</v>
      </c>
      <c r="F46" s="78" t="s">
        <v>158</v>
      </c>
      <c r="G46" s="79">
        <v>108387624</v>
      </c>
    </row>
    <row r="47" spans="2:7" ht="16.5" thickBot="1">
      <c r="B47" s="5"/>
      <c r="C47" s="85" t="s">
        <v>159</v>
      </c>
      <c r="D47" s="86">
        <f>SUM(D36:D46)</f>
        <v>1774013026</v>
      </c>
      <c r="E47" s="77" t="s">
        <v>160</v>
      </c>
      <c r="F47" s="78" t="s">
        <v>161</v>
      </c>
      <c r="G47" s="84">
        <v>45892216</v>
      </c>
    </row>
    <row r="48" spans="2:7" ht="16.5" thickBot="1">
      <c r="B48" s="5"/>
      <c r="C48" s="92" t="s">
        <v>162</v>
      </c>
      <c r="D48" s="93"/>
      <c r="E48" s="77"/>
      <c r="F48" s="85" t="s">
        <v>163</v>
      </c>
      <c r="G48" s="94">
        <f>+G33+G40+G47</f>
        <v>1025541849</v>
      </c>
    </row>
    <row r="49" spans="2:7">
      <c r="B49" s="5" t="s">
        <v>164</v>
      </c>
      <c r="C49" s="95" t="s">
        <v>165</v>
      </c>
      <c r="D49" s="96">
        <v>0</v>
      </c>
      <c r="E49" s="77" t="s">
        <v>166</v>
      </c>
      <c r="F49" s="80" t="s">
        <v>167</v>
      </c>
      <c r="G49" s="81">
        <v>464634430</v>
      </c>
    </row>
    <row r="50" spans="2:7">
      <c r="B50" s="5" t="s">
        <v>168</v>
      </c>
      <c r="C50" s="78" t="s">
        <v>162</v>
      </c>
      <c r="D50" s="79">
        <v>714364885</v>
      </c>
      <c r="E50" s="77" t="s">
        <v>169</v>
      </c>
      <c r="F50" s="78" t="s">
        <v>170</v>
      </c>
      <c r="G50" s="79">
        <v>448620572</v>
      </c>
    </row>
    <row r="51" spans="2:7">
      <c r="B51" s="5" t="s">
        <v>171</v>
      </c>
      <c r="C51" s="78" t="s">
        <v>172</v>
      </c>
      <c r="D51" s="84">
        <v>27806191</v>
      </c>
      <c r="E51" s="77" t="s">
        <v>173</v>
      </c>
      <c r="F51" s="78" t="s">
        <v>174</v>
      </c>
      <c r="G51" s="79">
        <v>15673404</v>
      </c>
    </row>
    <row r="52" spans="2:7" ht="16.5" thickBot="1">
      <c r="B52" s="11"/>
      <c r="C52" s="85" t="s">
        <v>175</v>
      </c>
      <c r="D52" s="86">
        <f>SUM(D49:D51)</f>
        <v>742171076</v>
      </c>
      <c r="E52" s="77" t="s">
        <v>176</v>
      </c>
      <c r="F52" s="78" t="s">
        <v>177</v>
      </c>
      <c r="G52" s="79">
        <v>0</v>
      </c>
    </row>
    <row r="53" spans="2:7" ht="16.5" thickBot="1">
      <c r="B53" s="5"/>
      <c r="C53" s="75" t="s">
        <v>178</v>
      </c>
      <c r="D53" s="97">
        <f>D20+D35+D47+D52</f>
        <v>11641328447</v>
      </c>
      <c r="E53" s="77" t="s">
        <v>179</v>
      </c>
      <c r="F53" s="78" t="s">
        <v>180</v>
      </c>
      <c r="G53" s="79">
        <v>61269654</v>
      </c>
    </row>
    <row r="54" spans="2:7">
      <c r="C54" s="98"/>
      <c r="D54" s="99"/>
      <c r="E54" s="77" t="s">
        <v>181</v>
      </c>
      <c r="F54" s="78" t="s">
        <v>182</v>
      </c>
      <c r="G54" s="79">
        <v>23033906</v>
      </c>
    </row>
    <row r="55" spans="2:7">
      <c r="C55" s="100" t="s">
        <v>183</v>
      </c>
      <c r="D55" s="101"/>
      <c r="E55" s="77" t="s">
        <v>184</v>
      </c>
      <c r="F55" s="78" t="s">
        <v>185</v>
      </c>
      <c r="G55" s="79">
        <v>46398938</v>
      </c>
    </row>
    <row r="56" spans="2:7">
      <c r="B56" s="5" t="s">
        <v>186</v>
      </c>
      <c r="C56" s="102" t="s">
        <v>187</v>
      </c>
      <c r="D56" s="79"/>
      <c r="E56" s="77" t="s">
        <v>188</v>
      </c>
      <c r="F56" s="78" t="s">
        <v>189</v>
      </c>
      <c r="G56" s="84">
        <v>55800221</v>
      </c>
    </row>
    <row r="57" spans="2:7" ht="14.25" customHeight="1" thickBot="1">
      <c r="B57" s="5" t="s">
        <v>190</v>
      </c>
      <c r="C57" s="102" t="s">
        <v>191</v>
      </c>
      <c r="D57" s="79"/>
      <c r="E57" s="77"/>
      <c r="F57" s="85" t="s">
        <v>192</v>
      </c>
      <c r="G57" s="86">
        <f>SUM(G49:G56)</f>
        <v>1115431125</v>
      </c>
    </row>
    <row r="58" spans="2:7">
      <c r="B58" s="5" t="s">
        <v>193</v>
      </c>
      <c r="C58" s="102" t="s">
        <v>194</v>
      </c>
      <c r="D58" s="79"/>
      <c r="E58" s="77" t="s">
        <v>195</v>
      </c>
      <c r="F58" s="80" t="s">
        <v>196</v>
      </c>
      <c r="G58" s="81">
        <v>0</v>
      </c>
    </row>
    <row r="59" spans="2:7">
      <c r="B59" s="5" t="s">
        <v>197</v>
      </c>
      <c r="C59" s="78" t="s">
        <v>198</v>
      </c>
      <c r="D59" s="84"/>
      <c r="E59" s="77" t="s">
        <v>199</v>
      </c>
      <c r="F59" s="78" t="s">
        <v>200</v>
      </c>
      <c r="G59" s="79">
        <v>82278450</v>
      </c>
    </row>
    <row r="60" spans="2:7" ht="16.5" thickBot="1">
      <c r="B60" s="5"/>
      <c r="C60" s="85" t="s">
        <v>201</v>
      </c>
      <c r="D60" s="86">
        <f>SUM(D56:D59)</f>
        <v>0</v>
      </c>
      <c r="E60" s="77" t="s">
        <v>202</v>
      </c>
      <c r="F60" s="78" t="s">
        <v>203</v>
      </c>
      <c r="G60" s="79">
        <v>0</v>
      </c>
    </row>
    <row r="61" spans="2:7" ht="16.5" thickBot="1">
      <c r="B61" s="15"/>
      <c r="C61" s="72" t="s">
        <v>204</v>
      </c>
      <c r="D61" s="103">
        <f>D53+D60</f>
        <v>11641328447</v>
      </c>
      <c r="E61" s="77" t="s">
        <v>205</v>
      </c>
      <c r="F61" s="78" t="s">
        <v>206</v>
      </c>
      <c r="G61" s="79">
        <v>0</v>
      </c>
    </row>
    <row r="62" spans="2:7">
      <c r="B62" s="16"/>
      <c r="C62" s="104"/>
      <c r="D62" s="104"/>
      <c r="E62" s="77" t="s">
        <v>207</v>
      </c>
      <c r="F62" s="78" t="s">
        <v>208</v>
      </c>
      <c r="G62" s="79">
        <v>0</v>
      </c>
    </row>
    <row r="63" spans="2:7">
      <c r="B63" s="17"/>
      <c r="C63" s="105" t="s">
        <v>8</v>
      </c>
      <c r="D63" s="105"/>
      <c r="E63" s="77" t="s">
        <v>209</v>
      </c>
      <c r="F63" s="78" t="s">
        <v>210</v>
      </c>
      <c r="G63" s="79">
        <v>19089883</v>
      </c>
    </row>
    <row r="64" spans="2:7">
      <c r="B64" s="18" t="s">
        <v>211</v>
      </c>
      <c r="C64" s="106" t="s">
        <v>212</v>
      </c>
      <c r="D64" s="106">
        <f>[3]Amortizaciones!D6</f>
        <v>85413475</v>
      </c>
      <c r="E64" s="77" t="s">
        <v>213</v>
      </c>
      <c r="F64" s="78" t="s">
        <v>214</v>
      </c>
      <c r="G64" s="79">
        <v>33353609</v>
      </c>
    </row>
    <row r="65" spans="2:7">
      <c r="B65" s="18" t="s">
        <v>215</v>
      </c>
      <c r="C65" s="106" t="s">
        <v>216</v>
      </c>
      <c r="D65" s="106">
        <f>[3]Amortizaciones!D7</f>
        <v>2845145</v>
      </c>
      <c r="E65" s="77" t="s">
        <v>217</v>
      </c>
      <c r="F65" s="78" t="s">
        <v>218</v>
      </c>
      <c r="G65" s="79">
        <v>11728764</v>
      </c>
    </row>
    <row r="66" spans="2:7">
      <c r="B66" s="18" t="s">
        <v>219</v>
      </c>
      <c r="C66" s="106" t="s">
        <v>220</v>
      </c>
      <c r="D66" s="106">
        <f>[3]Amortizaciones!D8</f>
        <v>55169159</v>
      </c>
      <c r="E66" s="77" t="s">
        <v>221</v>
      </c>
      <c r="F66" s="78" t="s">
        <v>222</v>
      </c>
      <c r="G66" s="79">
        <v>3118735</v>
      </c>
    </row>
    <row r="67" spans="2:7">
      <c r="B67" s="18" t="s">
        <v>223</v>
      </c>
      <c r="C67" s="106" t="s">
        <v>224</v>
      </c>
      <c r="D67" s="106">
        <f>[3]Amortizaciones!D9</f>
        <v>0</v>
      </c>
      <c r="E67" s="77" t="s">
        <v>225</v>
      </c>
      <c r="F67" s="78" t="s">
        <v>226</v>
      </c>
      <c r="G67" s="79">
        <v>19536679</v>
      </c>
    </row>
    <row r="68" spans="2:7">
      <c r="B68" s="18" t="s">
        <v>227</v>
      </c>
      <c r="C68" s="106" t="s">
        <v>228</v>
      </c>
      <c r="D68" s="106">
        <f>[3]Amortizaciones!D10</f>
        <v>11830892</v>
      </c>
      <c r="E68" s="77" t="s">
        <v>229</v>
      </c>
      <c r="F68" s="78" t="s">
        <v>230</v>
      </c>
      <c r="G68" s="79">
        <v>0</v>
      </c>
    </row>
    <row r="69" spans="2:7">
      <c r="B69" s="18" t="s">
        <v>231</v>
      </c>
      <c r="C69" s="106" t="s">
        <v>232</v>
      </c>
      <c r="D69" s="106">
        <f>[3]Amortizaciones!D11</f>
        <v>5397058</v>
      </c>
      <c r="E69" s="77" t="s">
        <v>233</v>
      </c>
      <c r="F69" s="78" t="s">
        <v>234</v>
      </c>
      <c r="G69" s="79">
        <v>0</v>
      </c>
    </row>
    <row r="70" spans="2:7">
      <c r="B70" s="18" t="s">
        <v>235</v>
      </c>
      <c r="C70" s="106" t="s">
        <v>236</v>
      </c>
      <c r="D70" s="106">
        <f>[3]Amortizaciones!D12</f>
        <v>0</v>
      </c>
      <c r="E70" s="77" t="s">
        <v>237</v>
      </c>
      <c r="F70" s="78" t="s">
        <v>238</v>
      </c>
      <c r="G70" s="79">
        <v>0</v>
      </c>
    </row>
    <row r="71" spans="2:7">
      <c r="B71" s="18" t="s">
        <v>239</v>
      </c>
      <c r="C71" s="106" t="s">
        <v>240</v>
      </c>
      <c r="D71" s="106">
        <f>[3]Amortizaciones!D13</f>
        <v>0</v>
      </c>
      <c r="E71" s="77" t="s">
        <v>241</v>
      </c>
      <c r="F71" s="78" t="s">
        <v>242</v>
      </c>
      <c r="G71" s="79">
        <v>448511</v>
      </c>
    </row>
    <row r="72" spans="2:7">
      <c r="B72" s="18" t="s">
        <v>243</v>
      </c>
      <c r="C72" s="106" t="s">
        <v>244</v>
      </c>
      <c r="D72" s="106">
        <f>[3]Amortizaciones!D14</f>
        <v>30092677</v>
      </c>
      <c r="E72" s="77" t="s">
        <v>245</v>
      </c>
      <c r="F72" s="78" t="s">
        <v>246</v>
      </c>
      <c r="G72" s="79">
        <v>0</v>
      </c>
    </row>
    <row r="73" spans="2:7">
      <c r="B73" s="18" t="s">
        <v>247</v>
      </c>
      <c r="C73" s="106" t="s">
        <v>248</v>
      </c>
      <c r="D73" s="106">
        <f>[3]Amortizaciones!D15</f>
        <v>5508083</v>
      </c>
      <c r="E73" s="77" t="s">
        <v>249</v>
      </c>
      <c r="F73" s="78" t="s">
        <v>250</v>
      </c>
      <c r="G73" s="79">
        <v>0</v>
      </c>
    </row>
    <row r="74" spans="2:7">
      <c r="B74" s="18" t="s">
        <v>251</v>
      </c>
      <c r="C74" s="106" t="s">
        <v>252</v>
      </c>
      <c r="D74" s="106">
        <f>[3]Amortizaciones!D16</f>
        <v>0</v>
      </c>
      <c r="E74" s="77" t="s">
        <v>253</v>
      </c>
      <c r="F74" s="78" t="s">
        <v>254</v>
      </c>
      <c r="G74" s="79">
        <v>21046802</v>
      </c>
    </row>
    <row r="75" spans="2:7">
      <c r="B75" s="18" t="s">
        <v>255</v>
      </c>
      <c r="C75" s="106" t="s">
        <v>256</v>
      </c>
      <c r="D75" s="106">
        <f>[3]Amortizaciones!D17</f>
        <v>0</v>
      </c>
      <c r="E75" s="77" t="s">
        <v>257</v>
      </c>
      <c r="F75" s="78" t="s">
        <v>258</v>
      </c>
      <c r="G75" s="79">
        <v>60633157</v>
      </c>
    </row>
    <row r="76" spans="2:7">
      <c r="B76" s="18" t="s">
        <v>259</v>
      </c>
      <c r="C76" s="106" t="s">
        <v>260</v>
      </c>
      <c r="D76" s="106">
        <f>[3]Amortizaciones!D18</f>
        <v>0</v>
      </c>
      <c r="E76" s="77" t="s">
        <v>261</v>
      </c>
      <c r="F76" s="78" t="s">
        <v>262</v>
      </c>
      <c r="G76" s="79">
        <v>194365625</v>
      </c>
    </row>
    <row r="77" spans="2:7">
      <c r="B77" s="18" t="s">
        <v>263</v>
      </c>
      <c r="C77" s="106" t="s">
        <v>264</v>
      </c>
      <c r="D77" s="106">
        <f>SUM(D64:D76)</f>
        <v>196256489</v>
      </c>
      <c r="E77" s="77" t="s">
        <v>265</v>
      </c>
      <c r="F77" s="78" t="s">
        <v>266</v>
      </c>
      <c r="G77" s="79">
        <v>793816306</v>
      </c>
    </row>
    <row r="78" spans="2:7">
      <c r="B78" s="18"/>
      <c r="C78" s="106"/>
      <c r="D78" s="106"/>
      <c r="E78" s="77" t="s">
        <v>267</v>
      </c>
      <c r="F78" s="78" t="s">
        <v>268</v>
      </c>
      <c r="G78" s="84">
        <v>37141757</v>
      </c>
    </row>
    <row r="79" spans="2:7" ht="16.5" thickBot="1">
      <c r="B79" s="18"/>
      <c r="C79" s="105" t="s">
        <v>269</v>
      </c>
      <c r="D79" s="107"/>
      <c r="E79" s="77"/>
      <c r="F79" s="85" t="s">
        <v>270</v>
      </c>
      <c r="G79" s="86">
        <f>SUM(G58:G78)</f>
        <v>1276558278</v>
      </c>
    </row>
    <row r="80" spans="2:7">
      <c r="B80" s="18" t="s">
        <v>271</v>
      </c>
      <c r="C80" s="106" t="s">
        <v>236</v>
      </c>
      <c r="D80" s="106">
        <f>[3]Amortizaciones!D22</f>
        <v>22501974</v>
      </c>
      <c r="E80" s="77" t="s">
        <v>272</v>
      </c>
      <c r="F80" s="80" t="s">
        <v>273</v>
      </c>
      <c r="G80" s="81"/>
    </row>
    <row r="81" spans="2:7">
      <c r="B81" s="18" t="s">
        <v>274</v>
      </c>
      <c r="C81" s="106" t="s">
        <v>240</v>
      </c>
      <c r="D81" s="106">
        <f>[3]Amortizaciones!D23</f>
        <v>0</v>
      </c>
      <c r="E81" s="77" t="s">
        <v>275</v>
      </c>
      <c r="F81" s="78" t="s">
        <v>276</v>
      </c>
      <c r="G81" s="79">
        <v>82463054</v>
      </c>
    </row>
    <row r="82" spans="2:7">
      <c r="B82" s="18" t="s">
        <v>277</v>
      </c>
      <c r="C82" s="106" t="s">
        <v>244</v>
      </c>
      <c r="D82" s="106">
        <f>[3]Amortizaciones!D24</f>
        <v>21669381</v>
      </c>
      <c r="E82" s="77" t="s">
        <v>278</v>
      </c>
      <c r="F82" s="78" t="s">
        <v>279</v>
      </c>
      <c r="G82" s="79">
        <v>22258126</v>
      </c>
    </row>
    <row r="83" spans="2:7">
      <c r="B83" s="18" t="s">
        <v>280</v>
      </c>
      <c r="C83" s="106" t="s">
        <v>248</v>
      </c>
      <c r="D83" s="106">
        <f>[3]Amortizaciones!D25</f>
        <v>170353</v>
      </c>
      <c r="E83" s="77" t="s">
        <v>281</v>
      </c>
      <c r="F83" s="78" t="s">
        <v>282</v>
      </c>
      <c r="G83" s="79">
        <v>20396343</v>
      </c>
    </row>
    <row r="84" spans="2:7">
      <c r="B84" s="18" t="s">
        <v>283</v>
      </c>
      <c r="C84" s="106" t="s">
        <v>284</v>
      </c>
      <c r="D84" s="106">
        <v>0</v>
      </c>
      <c r="E84" s="77" t="s">
        <v>285</v>
      </c>
      <c r="F84" s="78" t="s">
        <v>286</v>
      </c>
      <c r="G84" s="79">
        <v>55617822</v>
      </c>
    </row>
    <row r="85" spans="2:7">
      <c r="B85" s="18" t="s">
        <v>287</v>
      </c>
      <c r="C85" s="106" t="s">
        <v>288</v>
      </c>
      <c r="D85" s="106">
        <f>[3]Amortizaciones!D27</f>
        <v>0</v>
      </c>
      <c r="E85" s="77" t="s">
        <v>289</v>
      </c>
      <c r="F85" s="78" t="s">
        <v>290</v>
      </c>
      <c r="G85" s="79">
        <v>56406178</v>
      </c>
    </row>
    <row r="86" spans="2:7" ht="13.5" customHeight="1">
      <c r="B86" s="18" t="s">
        <v>291</v>
      </c>
      <c r="C86" s="106" t="s">
        <v>292</v>
      </c>
      <c r="D86" s="106">
        <f>[3]Amortizaciones!D28</f>
        <v>0</v>
      </c>
      <c r="E86" s="77" t="s">
        <v>293</v>
      </c>
      <c r="F86" s="78" t="s">
        <v>294</v>
      </c>
      <c r="G86" s="79">
        <v>11227053</v>
      </c>
    </row>
    <row r="87" spans="2:7" ht="13.5" customHeight="1">
      <c r="B87" s="18" t="s">
        <v>295</v>
      </c>
      <c r="C87" s="106" t="s">
        <v>296</v>
      </c>
      <c r="D87" s="106">
        <f>[3]Amortizaciones!D29</f>
        <v>0</v>
      </c>
      <c r="E87" s="77" t="s">
        <v>297</v>
      </c>
      <c r="F87" s="78" t="s">
        <v>298</v>
      </c>
      <c r="G87" s="79">
        <v>5741995</v>
      </c>
    </row>
    <row r="88" spans="2:7" ht="13.5" customHeight="1">
      <c r="B88" s="18" t="s">
        <v>299</v>
      </c>
      <c r="C88" s="106" t="s">
        <v>300</v>
      </c>
      <c r="D88" s="106">
        <f>[3]Amortizaciones!D30</f>
        <v>34127078</v>
      </c>
      <c r="E88" s="77" t="s">
        <v>301</v>
      </c>
      <c r="F88" s="78" t="s">
        <v>302</v>
      </c>
      <c r="G88" s="79">
        <v>0</v>
      </c>
    </row>
    <row r="89" spans="2:7">
      <c r="B89" s="18" t="s">
        <v>303</v>
      </c>
      <c r="C89" s="106" t="s">
        <v>212</v>
      </c>
      <c r="D89" s="106">
        <f>[3]Amortizaciones!D31</f>
        <v>5451925</v>
      </c>
      <c r="E89" s="77" t="s">
        <v>304</v>
      </c>
      <c r="F89" s="78" t="s">
        <v>305</v>
      </c>
      <c r="G89" s="79">
        <v>0</v>
      </c>
    </row>
    <row r="90" spans="2:7" ht="14.25" customHeight="1">
      <c r="B90" s="18" t="s">
        <v>306</v>
      </c>
      <c r="C90" s="106" t="s">
        <v>228</v>
      </c>
      <c r="D90" s="106">
        <f>[3]Amortizaciones!D32</f>
        <v>0</v>
      </c>
      <c r="E90" s="77" t="s">
        <v>307</v>
      </c>
      <c r="F90" s="78" t="s">
        <v>308</v>
      </c>
      <c r="G90" s="79">
        <v>0</v>
      </c>
    </row>
    <row r="91" spans="2:7" ht="14.25" customHeight="1">
      <c r="B91" s="18" t="s">
        <v>309</v>
      </c>
      <c r="C91" s="106" t="s">
        <v>310</v>
      </c>
      <c r="D91" s="106">
        <f>SUM(D80:D90)</f>
        <v>83920711</v>
      </c>
      <c r="E91" s="108" t="s">
        <v>311</v>
      </c>
      <c r="F91" s="78" t="s">
        <v>312</v>
      </c>
      <c r="G91" s="79">
        <v>0</v>
      </c>
    </row>
    <row r="92" spans="2:7" ht="14.25" customHeight="1">
      <c r="B92" s="18"/>
      <c r="C92" s="109" t="s">
        <v>313</v>
      </c>
      <c r="D92" s="106">
        <f>D77+D91</f>
        <v>280177200</v>
      </c>
      <c r="E92" s="108" t="s">
        <v>314</v>
      </c>
      <c r="F92" s="78" t="s">
        <v>315</v>
      </c>
      <c r="G92" s="79">
        <v>0</v>
      </c>
    </row>
    <row r="93" spans="2:7">
      <c r="C93" s="104"/>
      <c r="D93" s="104"/>
      <c r="E93" s="108" t="s">
        <v>316</v>
      </c>
      <c r="F93" s="78" t="s">
        <v>317</v>
      </c>
      <c r="G93" s="79">
        <v>6933249</v>
      </c>
    </row>
    <row r="94" spans="2:7">
      <c r="C94" s="104"/>
      <c r="D94" s="104"/>
      <c r="E94" s="108" t="s">
        <v>318</v>
      </c>
      <c r="F94" s="78" t="s">
        <v>319</v>
      </c>
      <c r="G94" s="84">
        <v>8687765</v>
      </c>
    </row>
    <row r="95" spans="2:7" ht="13.5" customHeight="1" thickBot="1">
      <c r="C95" s="104"/>
      <c r="D95" s="104"/>
      <c r="E95" s="77"/>
      <c r="F95" s="85" t="s">
        <v>320</v>
      </c>
      <c r="G95" s="86">
        <f>SUM(G80:G94)</f>
        <v>269731585</v>
      </c>
    </row>
    <row r="96" spans="2:7">
      <c r="C96" s="104"/>
      <c r="D96" s="104"/>
      <c r="E96" s="108" t="s">
        <v>321</v>
      </c>
      <c r="F96" s="80" t="s">
        <v>322</v>
      </c>
      <c r="G96" s="81">
        <v>19106973</v>
      </c>
    </row>
    <row r="97" spans="2:7">
      <c r="C97" s="104"/>
      <c r="D97" s="104"/>
      <c r="E97" s="108" t="s">
        <v>323</v>
      </c>
      <c r="F97" s="78" t="s">
        <v>324</v>
      </c>
      <c r="G97" s="79">
        <v>31306545</v>
      </c>
    </row>
    <row r="98" spans="2:7">
      <c r="C98" s="104"/>
      <c r="D98" s="104"/>
      <c r="E98" s="108" t="s">
        <v>325</v>
      </c>
      <c r="F98" s="78" t="s">
        <v>326</v>
      </c>
      <c r="G98" s="79">
        <v>1116365</v>
      </c>
    </row>
    <row r="99" spans="2:7">
      <c r="C99" s="104"/>
      <c r="D99" s="104"/>
      <c r="E99" s="108" t="s">
        <v>327</v>
      </c>
      <c r="F99" s="78" t="s">
        <v>328</v>
      </c>
      <c r="G99" s="79">
        <v>59672042</v>
      </c>
    </row>
    <row r="100" spans="2:7">
      <c r="C100" s="104"/>
      <c r="D100" s="104"/>
      <c r="E100" s="108" t="s">
        <v>329</v>
      </c>
      <c r="F100" s="78" t="s">
        <v>330</v>
      </c>
      <c r="G100" s="84">
        <v>3673205</v>
      </c>
    </row>
    <row r="101" spans="2:7" ht="12.75" customHeight="1" thickBot="1">
      <c r="C101" s="104"/>
      <c r="D101" s="104"/>
      <c r="E101" s="77"/>
      <c r="F101" s="85" t="s">
        <v>331</v>
      </c>
      <c r="G101" s="86">
        <f>SUM(G96:G100)</f>
        <v>114875130</v>
      </c>
    </row>
    <row r="102" spans="2:7" ht="12.75" customHeight="1" thickBot="1">
      <c r="C102" s="104"/>
      <c r="D102" s="104"/>
      <c r="E102" s="108"/>
      <c r="F102" s="110" t="s">
        <v>332</v>
      </c>
      <c r="G102" s="111">
        <f>[3]Amortizaciones!D19</f>
        <v>196256489</v>
      </c>
    </row>
    <row r="103" spans="2:7">
      <c r="C103" s="104"/>
      <c r="D103" s="104"/>
      <c r="E103" s="108" t="s">
        <v>333</v>
      </c>
      <c r="F103" s="78" t="s">
        <v>334</v>
      </c>
      <c r="G103" s="81">
        <v>0</v>
      </c>
    </row>
    <row r="104" spans="2:7">
      <c r="C104" s="104"/>
      <c r="D104" s="104"/>
      <c r="E104" s="108" t="s">
        <v>335</v>
      </c>
      <c r="F104" s="112" t="s">
        <v>336</v>
      </c>
      <c r="G104" s="79">
        <v>0</v>
      </c>
    </row>
    <row r="105" spans="2:7" ht="14.25" customHeight="1" thickBot="1">
      <c r="C105" s="104"/>
      <c r="D105" s="104"/>
      <c r="E105" s="77"/>
      <c r="F105" s="85" t="s">
        <v>337</v>
      </c>
      <c r="G105" s="86">
        <f>SUM(G103:G104)</f>
        <v>0</v>
      </c>
    </row>
    <row r="106" spans="2:7" ht="14.25" customHeight="1" thickBot="1">
      <c r="B106" s="5"/>
      <c r="C106" s="113"/>
      <c r="D106" s="113"/>
      <c r="E106" s="108"/>
      <c r="F106" s="72" t="s">
        <v>338</v>
      </c>
      <c r="G106" s="103">
        <f>G19+G27+G32+G48+G57+G79+G95+G101+G102+G105</f>
        <v>10064540213</v>
      </c>
    </row>
    <row r="107" spans="2:7" ht="5.25" customHeight="1">
      <c r="B107" s="5"/>
      <c r="C107" s="113"/>
      <c r="D107" s="113"/>
      <c r="E107" s="77"/>
      <c r="F107" s="114"/>
      <c r="G107" s="115"/>
    </row>
    <row r="108" spans="2:7" ht="5.25" customHeight="1" thickBot="1">
      <c r="B108" s="5"/>
      <c r="C108" s="113"/>
      <c r="D108" s="113"/>
      <c r="E108" s="77"/>
      <c r="F108" s="116"/>
      <c r="G108" s="116"/>
    </row>
    <row r="109" spans="2:7" ht="16.5" customHeight="1" thickBot="1">
      <c r="B109" s="5"/>
      <c r="C109" s="113"/>
      <c r="D109" s="113"/>
      <c r="E109" s="77"/>
      <c r="F109" s="72" t="s">
        <v>339</v>
      </c>
      <c r="G109" s="103">
        <f>D61-G106</f>
        <v>1576788234</v>
      </c>
    </row>
    <row r="110" spans="2:7" ht="6.75" customHeight="1" thickBot="1">
      <c r="B110" s="5"/>
      <c r="C110" s="117"/>
      <c r="D110" s="117"/>
      <c r="E110" s="77"/>
      <c r="F110" s="116"/>
      <c r="G110" s="116"/>
    </row>
    <row r="111" spans="2:7" ht="15" customHeight="1" thickBot="1">
      <c r="C111" s="72" t="s">
        <v>269</v>
      </c>
      <c r="D111" s="118">
        <f>+[3]E.S.P.!D6</f>
        <v>2021</v>
      </c>
      <c r="E111" s="108"/>
      <c r="F111" s="72" t="s">
        <v>340</v>
      </c>
      <c r="G111" s="118">
        <f>+[3]E.S.P.!D6</f>
        <v>2021</v>
      </c>
    </row>
    <row r="112" spans="2:7" ht="13.7" customHeight="1">
      <c r="B112" s="5" t="s">
        <v>341</v>
      </c>
      <c r="C112" s="119" t="s">
        <v>342</v>
      </c>
      <c r="D112" s="120">
        <v>49552311</v>
      </c>
      <c r="E112" s="77" t="s">
        <v>343</v>
      </c>
      <c r="F112" s="119" t="s">
        <v>308</v>
      </c>
      <c r="G112" s="120">
        <v>0</v>
      </c>
    </row>
    <row r="113" spans="2:7" ht="13.7" customHeight="1">
      <c r="B113" s="5" t="s">
        <v>344</v>
      </c>
      <c r="C113" s="121" t="s">
        <v>345</v>
      </c>
      <c r="D113" s="122">
        <v>402416075</v>
      </c>
      <c r="E113" s="77" t="s">
        <v>346</v>
      </c>
      <c r="F113" s="121" t="s">
        <v>347</v>
      </c>
      <c r="G113" s="122">
        <v>0</v>
      </c>
    </row>
    <row r="114" spans="2:7" ht="13.7" customHeight="1">
      <c r="B114" s="5" t="s">
        <v>348</v>
      </c>
      <c r="C114" s="121" t="s">
        <v>48</v>
      </c>
      <c r="D114" s="122">
        <v>0</v>
      </c>
      <c r="E114" s="77" t="s">
        <v>349</v>
      </c>
      <c r="F114" s="121" t="s">
        <v>350</v>
      </c>
      <c r="G114" s="122">
        <v>192735086</v>
      </c>
    </row>
    <row r="115" spans="2:7" ht="13.7" customHeight="1">
      <c r="B115" s="5" t="s">
        <v>351</v>
      </c>
      <c r="C115" s="121" t="s">
        <v>352</v>
      </c>
      <c r="D115" s="122">
        <v>2281323</v>
      </c>
      <c r="E115" s="77" t="s">
        <v>353</v>
      </c>
      <c r="F115" s="121" t="s">
        <v>354</v>
      </c>
      <c r="G115" s="122">
        <v>0</v>
      </c>
    </row>
    <row r="116" spans="2:7" ht="13.7" customHeight="1">
      <c r="B116" s="5" t="s">
        <v>355</v>
      </c>
      <c r="C116" s="121" t="s">
        <v>356</v>
      </c>
      <c r="D116" s="122">
        <v>26475020</v>
      </c>
      <c r="E116" s="77" t="s">
        <v>357</v>
      </c>
      <c r="F116" s="121" t="s">
        <v>358</v>
      </c>
      <c r="G116" s="122">
        <v>100142650</v>
      </c>
    </row>
    <row r="117" spans="2:7" ht="13.7" customHeight="1">
      <c r="B117" s="5" t="s">
        <v>359</v>
      </c>
      <c r="C117" s="121" t="s">
        <v>360</v>
      </c>
      <c r="D117" s="122">
        <v>0</v>
      </c>
      <c r="E117" s="77" t="s">
        <v>361</v>
      </c>
      <c r="F117" s="121" t="s">
        <v>362</v>
      </c>
      <c r="G117" s="122">
        <v>0</v>
      </c>
    </row>
    <row r="118" spans="2:7" ht="13.7" customHeight="1">
      <c r="B118" s="5" t="s">
        <v>363</v>
      </c>
      <c r="C118" s="121" t="s">
        <v>364</v>
      </c>
      <c r="D118" s="122">
        <v>0</v>
      </c>
      <c r="E118" s="77" t="s">
        <v>365</v>
      </c>
      <c r="F118" s="121" t="s">
        <v>366</v>
      </c>
      <c r="G118" s="122">
        <v>0</v>
      </c>
    </row>
    <row r="119" spans="2:7" ht="13.7" customHeight="1">
      <c r="B119" s="5" t="s">
        <v>367</v>
      </c>
      <c r="C119" s="121" t="s">
        <v>368</v>
      </c>
      <c r="D119" s="122">
        <v>7310806.46</v>
      </c>
      <c r="E119" s="77" t="s">
        <v>369</v>
      </c>
      <c r="F119" s="121" t="s">
        <v>370</v>
      </c>
      <c r="G119" s="122">
        <v>0</v>
      </c>
    </row>
    <row r="120" spans="2:7" ht="13.7" customHeight="1">
      <c r="B120" s="5" t="s">
        <v>371</v>
      </c>
      <c r="C120" s="121" t="s">
        <v>372</v>
      </c>
      <c r="D120" s="122">
        <v>0</v>
      </c>
      <c r="E120" s="77" t="s">
        <v>373</v>
      </c>
      <c r="F120" s="121" t="s">
        <v>374</v>
      </c>
      <c r="G120" s="122">
        <v>0</v>
      </c>
    </row>
    <row r="121" spans="2:7" ht="13.7" customHeight="1">
      <c r="B121" s="5" t="s">
        <v>375</v>
      </c>
      <c r="C121" s="78" t="s">
        <v>376</v>
      </c>
      <c r="D121" s="122">
        <v>17036809</v>
      </c>
      <c r="E121" s="77" t="s">
        <v>377</v>
      </c>
      <c r="F121" s="121" t="s">
        <v>378</v>
      </c>
      <c r="G121" s="122">
        <v>90477988</v>
      </c>
    </row>
    <row r="122" spans="2:7" ht="13.7" customHeight="1" thickBot="1">
      <c r="B122" s="5"/>
      <c r="C122" s="85" t="s">
        <v>379</v>
      </c>
      <c r="D122" s="94">
        <f>SUM(D112:D121)</f>
        <v>505072344.45999998</v>
      </c>
      <c r="E122" s="77" t="s">
        <v>380</v>
      </c>
      <c r="F122" s="78" t="s">
        <v>381</v>
      </c>
      <c r="G122" s="79">
        <v>9001617</v>
      </c>
    </row>
    <row r="123" spans="2:7" ht="13.7" customHeight="1" thickBot="1">
      <c r="B123" s="5" t="s">
        <v>382</v>
      </c>
      <c r="C123" s="123" t="s">
        <v>308</v>
      </c>
      <c r="D123" s="120">
        <v>63700175</v>
      </c>
      <c r="E123" s="108"/>
      <c r="F123" s="85" t="s">
        <v>383</v>
      </c>
      <c r="G123" s="94">
        <f>SUM(G112:G122)</f>
        <v>392357341</v>
      </c>
    </row>
    <row r="124" spans="2:7" ht="13.7" customHeight="1">
      <c r="B124" s="5" t="s">
        <v>384</v>
      </c>
      <c r="C124" s="121" t="s">
        <v>312</v>
      </c>
      <c r="D124" s="122">
        <v>432852390</v>
      </c>
      <c r="E124" s="77" t="s">
        <v>385</v>
      </c>
      <c r="F124" s="121" t="s">
        <v>386</v>
      </c>
      <c r="G124" s="122">
        <v>108206957</v>
      </c>
    </row>
    <row r="125" spans="2:7" ht="13.7" customHeight="1">
      <c r="B125" s="5" t="s">
        <v>387</v>
      </c>
      <c r="C125" s="78" t="s">
        <v>388</v>
      </c>
      <c r="D125" s="122">
        <v>20730834</v>
      </c>
      <c r="E125" s="77" t="s">
        <v>389</v>
      </c>
      <c r="F125" s="121" t="s">
        <v>390</v>
      </c>
      <c r="G125" s="122">
        <v>0</v>
      </c>
    </row>
    <row r="126" spans="2:7" ht="13.7" customHeight="1" thickBot="1">
      <c r="B126" s="5"/>
      <c r="C126" s="85" t="s">
        <v>391</v>
      </c>
      <c r="D126" s="94">
        <f>SUM(D123:D125)</f>
        <v>517283399</v>
      </c>
      <c r="E126" s="77" t="s">
        <v>392</v>
      </c>
      <c r="F126" s="121" t="s">
        <v>393</v>
      </c>
      <c r="G126" s="122">
        <v>87098631</v>
      </c>
    </row>
    <row r="127" spans="2:7" ht="13.7" customHeight="1">
      <c r="B127" s="5" t="s">
        <v>394</v>
      </c>
      <c r="C127" s="119" t="s">
        <v>273</v>
      </c>
      <c r="D127" s="120">
        <v>0</v>
      </c>
      <c r="E127" s="77" t="s">
        <v>395</v>
      </c>
      <c r="F127" s="121" t="s">
        <v>396</v>
      </c>
      <c r="G127" s="122">
        <v>0</v>
      </c>
    </row>
    <row r="128" spans="2:7" ht="13.7" customHeight="1">
      <c r="B128" s="5" t="s">
        <v>397</v>
      </c>
      <c r="C128" s="121" t="s">
        <v>398</v>
      </c>
      <c r="D128" s="122">
        <v>11015677</v>
      </c>
      <c r="E128" s="77" t="s">
        <v>399</v>
      </c>
      <c r="F128" s="121" t="s">
        <v>400</v>
      </c>
      <c r="G128" s="122">
        <v>5063119</v>
      </c>
    </row>
    <row r="129" spans="2:7" ht="13.7" customHeight="1">
      <c r="B129" s="5" t="s">
        <v>401</v>
      </c>
      <c r="C129" s="121" t="s">
        <v>276</v>
      </c>
      <c r="D129" s="122">
        <v>0</v>
      </c>
      <c r="E129" s="77" t="s">
        <v>402</v>
      </c>
      <c r="F129" s="121" t="s">
        <v>403</v>
      </c>
      <c r="G129" s="122">
        <v>0</v>
      </c>
    </row>
    <row r="130" spans="2:7" ht="13.7" customHeight="1">
      <c r="B130" s="5" t="s">
        <v>404</v>
      </c>
      <c r="C130" s="121" t="s">
        <v>282</v>
      </c>
      <c r="D130" s="122">
        <v>0</v>
      </c>
      <c r="E130" s="77" t="s">
        <v>405</v>
      </c>
      <c r="F130" s="121" t="s">
        <v>406</v>
      </c>
      <c r="G130" s="122">
        <v>0</v>
      </c>
    </row>
    <row r="131" spans="2:7" ht="13.7" customHeight="1">
      <c r="B131" s="5" t="s">
        <v>407</v>
      </c>
      <c r="C131" s="121" t="s">
        <v>286</v>
      </c>
      <c r="D131" s="122">
        <v>0</v>
      </c>
      <c r="E131" s="77" t="s">
        <v>408</v>
      </c>
      <c r="F131" s="121" t="s">
        <v>409</v>
      </c>
      <c r="G131" s="122">
        <v>0</v>
      </c>
    </row>
    <row r="132" spans="2:7" ht="13.7" customHeight="1">
      <c r="B132" s="5" t="s">
        <v>410</v>
      </c>
      <c r="C132" s="121" t="s">
        <v>290</v>
      </c>
      <c r="D132" s="122">
        <v>0</v>
      </c>
      <c r="E132" s="77" t="s">
        <v>411</v>
      </c>
      <c r="F132" s="121" t="s">
        <v>412</v>
      </c>
      <c r="G132" s="122"/>
    </row>
    <row r="133" spans="2:7" ht="13.7" customHeight="1">
      <c r="B133" s="5" t="s">
        <v>413</v>
      </c>
      <c r="C133" s="121" t="s">
        <v>294</v>
      </c>
      <c r="D133" s="122">
        <v>0</v>
      </c>
      <c r="E133" s="77" t="s">
        <v>414</v>
      </c>
      <c r="F133" s="121" t="s">
        <v>415</v>
      </c>
      <c r="G133" s="122">
        <v>50292490</v>
      </c>
    </row>
    <row r="134" spans="2:7" ht="13.7" customHeight="1">
      <c r="B134" s="5" t="s">
        <v>416</v>
      </c>
      <c r="C134" s="121" t="s">
        <v>417</v>
      </c>
      <c r="D134" s="122">
        <v>59762750</v>
      </c>
      <c r="E134" s="77" t="s">
        <v>418</v>
      </c>
      <c r="F134" s="121" t="s">
        <v>419</v>
      </c>
      <c r="G134" s="122">
        <v>0</v>
      </c>
    </row>
    <row r="135" spans="2:7" ht="13.7" customHeight="1">
      <c r="B135" s="5" t="s">
        <v>420</v>
      </c>
      <c r="C135" s="121" t="s">
        <v>421</v>
      </c>
      <c r="D135" s="122">
        <v>6068785</v>
      </c>
      <c r="E135" s="77" t="s">
        <v>422</v>
      </c>
      <c r="F135" s="121" t="s">
        <v>423</v>
      </c>
      <c r="G135" s="122">
        <v>0</v>
      </c>
    </row>
    <row r="136" spans="2:7" ht="13.7" customHeight="1">
      <c r="B136" s="5" t="s">
        <v>424</v>
      </c>
      <c r="C136" s="121" t="s">
        <v>317</v>
      </c>
      <c r="D136" s="122">
        <v>19925370</v>
      </c>
      <c r="E136" s="77" t="s">
        <v>425</v>
      </c>
      <c r="F136" s="121" t="s">
        <v>426</v>
      </c>
      <c r="G136" s="122">
        <v>412067</v>
      </c>
    </row>
    <row r="137" spans="2:7" ht="13.7" customHeight="1">
      <c r="B137" s="5" t="s">
        <v>427</v>
      </c>
      <c r="C137" s="78" t="s">
        <v>319</v>
      </c>
      <c r="D137" s="124">
        <v>2599689</v>
      </c>
      <c r="E137" s="77" t="s">
        <v>428</v>
      </c>
      <c r="F137" s="121" t="s">
        <v>429</v>
      </c>
      <c r="G137" s="122">
        <v>110357194</v>
      </c>
    </row>
    <row r="138" spans="2:7" ht="13.7" customHeight="1" thickBot="1">
      <c r="B138" s="5"/>
      <c r="C138" s="85" t="s">
        <v>320</v>
      </c>
      <c r="D138" s="94">
        <f>SUM(D127:D137)</f>
        <v>99372271</v>
      </c>
      <c r="E138" s="77" t="s">
        <v>430</v>
      </c>
      <c r="F138" s="78" t="s">
        <v>431</v>
      </c>
      <c r="G138" s="79">
        <v>14591461</v>
      </c>
    </row>
    <row r="139" spans="2:7" ht="13.7" customHeight="1" thickBot="1">
      <c r="B139" s="5" t="s">
        <v>432</v>
      </c>
      <c r="C139" s="119" t="s">
        <v>326</v>
      </c>
      <c r="D139" s="120">
        <v>0</v>
      </c>
      <c r="E139" s="125"/>
      <c r="F139" s="85" t="s">
        <v>433</v>
      </c>
      <c r="G139" s="94">
        <f>SUM(G124:G138)</f>
        <v>376021919</v>
      </c>
    </row>
    <row r="140" spans="2:7" ht="13.7" customHeight="1" thickBot="1">
      <c r="B140" s="5" t="s">
        <v>434</v>
      </c>
      <c r="C140" s="121" t="s">
        <v>328</v>
      </c>
      <c r="D140" s="122">
        <v>0</v>
      </c>
      <c r="E140" s="125"/>
      <c r="F140" s="110" t="s">
        <v>435</v>
      </c>
      <c r="G140" s="126">
        <f>G123-G139</f>
        <v>16335422</v>
      </c>
    </row>
    <row r="141" spans="2:7" ht="13.7" customHeight="1">
      <c r="B141" s="5" t="s">
        <v>436</v>
      </c>
      <c r="C141" s="78" t="s">
        <v>330</v>
      </c>
      <c r="D141" s="124">
        <v>0</v>
      </c>
      <c r="E141" s="127"/>
      <c r="F141" s="116"/>
      <c r="G141" s="116"/>
    </row>
    <row r="142" spans="2:7" ht="13.7" customHeight="1" thickBot="1">
      <c r="B142" s="5"/>
      <c r="C142" s="85" t="s">
        <v>331</v>
      </c>
      <c r="D142" s="94">
        <f>SUM(D139:D141)</f>
        <v>0</v>
      </c>
      <c r="E142" s="127"/>
      <c r="F142" s="116"/>
      <c r="G142" s="116"/>
    </row>
    <row r="143" spans="2:7" ht="13.5" customHeight="1" thickBot="1">
      <c r="B143" s="5"/>
      <c r="C143" s="110" t="s">
        <v>332</v>
      </c>
      <c r="D143" s="126">
        <f>[3]Amortizaciones!D33</f>
        <v>83920711</v>
      </c>
      <c r="E143" s="77"/>
      <c r="F143" s="72" t="s">
        <v>437</v>
      </c>
      <c r="G143" s="118">
        <f>+[3]E.S.P.!D6</f>
        <v>2021</v>
      </c>
    </row>
    <row r="144" spans="2:7" ht="13.7" customHeight="1">
      <c r="B144" s="5" t="s">
        <v>438</v>
      </c>
      <c r="C144" s="119" t="s">
        <v>439</v>
      </c>
      <c r="D144" s="120">
        <v>0</v>
      </c>
      <c r="E144" s="77" t="s">
        <v>440</v>
      </c>
      <c r="F144" s="119" t="s">
        <v>441</v>
      </c>
      <c r="G144" s="120">
        <v>37452514</v>
      </c>
    </row>
    <row r="145" spans="2:7" ht="13.7" customHeight="1">
      <c r="B145" s="5" t="s">
        <v>442</v>
      </c>
      <c r="C145" s="121" t="s">
        <v>443</v>
      </c>
      <c r="D145" s="122"/>
      <c r="E145" s="77" t="s">
        <v>444</v>
      </c>
      <c r="F145" s="121" t="s">
        <v>445</v>
      </c>
      <c r="G145" s="122"/>
    </row>
    <row r="146" spans="2:7" ht="13.7" customHeight="1">
      <c r="B146" s="5" t="s">
        <v>446</v>
      </c>
      <c r="C146" s="128" t="s">
        <v>447</v>
      </c>
      <c r="D146" s="122"/>
      <c r="E146" s="77" t="s">
        <v>448</v>
      </c>
      <c r="F146" s="121" t="s">
        <v>449</v>
      </c>
      <c r="G146" s="122">
        <v>28035963</v>
      </c>
    </row>
    <row r="147" spans="2:7" ht="13.7" customHeight="1">
      <c r="B147" s="5" t="s">
        <v>450</v>
      </c>
      <c r="C147" s="78" t="s">
        <v>451</v>
      </c>
      <c r="D147" s="124"/>
      <c r="E147" s="77" t="s">
        <v>452</v>
      </c>
      <c r="F147" s="121" t="s">
        <v>453</v>
      </c>
      <c r="G147" s="122">
        <v>0</v>
      </c>
    </row>
    <row r="148" spans="2:7" ht="13.7" customHeight="1" thickBot="1">
      <c r="B148" s="5"/>
      <c r="C148" s="85" t="s">
        <v>518</v>
      </c>
      <c r="D148" s="94">
        <f>SUM(D144:D147)</f>
        <v>0</v>
      </c>
      <c r="E148" s="77" t="s">
        <v>454</v>
      </c>
      <c r="F148" s="121" t="s">
        <v>455</v>
      </c>
      <c r="G148" s="122">
        <v>0</v>
      </c>
    </row>
    <row r="149" spans="2:7" ht="13.7" customHeight="1">
      <c r="B149" s="5" t="s">
        <v>456</v>
      </c>
      <c r="C149" s="119" t="s">
        <v>457</v>
      </c>
      <c r="D149" s="120">
        <f>35089822</f>
        <v>35089822</v>
      </c>
      <c r="E149" s="77" t="s">
        <v>458</v>
      </c>
      <c r="F149" s="121" t="s">
        <v>459</v>
      </c>
      <c r="G149" s="122">
        <v>0</v>
      </c>
    </row>
    <row r="150" spans="2:7" ht="13.7" customHeight="1">
      <c r="B150" s="5" t="s">
        <v>460</v>
      </c>
      <c r="C150" s="121" t="s">
        <v>461</v>
      </c>
      <c r="D150" s="122">
        <v>113471233</v>
      </c>
      <c r="E150" s="77" t="s">
        <v>462</v>
      </c>
      <c r="F150" s="121" t="s">
        <v>463</v>
      </c>
      <c r="G150" s="122">
        <v>0</v>
      </c>
    </row>
    <row r="151" spans="2:7" ht="13.7" customHeight="1">
      <c r="B151" s="5" t="s">
        <v>464</v>
      </c>
      <c r="C151" s="78" t="s">
        <v>465</v>
      </c>
      <c r="D151" s="124">
        <v>1221067</v>
      </c>
      <c r="E151" s="77" t="s">
        <v>466</v>
      </c>
      <c r="F151" s="121" t="s">
        <v>467</v>
      </c>
      <c r="G151" s="122">
        <v>158935067</v>
      </c>
    </row>
    <row r="152" spans="2:7" ht="13.7" customHeight="1" thickBot="1">
      <c r="B152" s="5"/>
      <c r="C152" s="85" t="s">
        <v>516</v>
      </c>
      <c r="D152" s="94">
        <f>SUM(D149:D151)</f>
        <v>149782122</v>
      </c>
      <c r="E152" s="77" t="s">
        <v>469</v>
      </c>
      <c r="F152" s="121" t="s">
        <v>470</v>
      </c>
      <c r="G152" s="122"/>
    </row>
    <row r="153" spans="2:7" ht="15" customHeight="1" thickBot="1">
      <c r="B153" s="5"/>
      <c r="C153" s="110" t="s">
        <v>471</v>
      </c>
      <c r="D153" s="129">
        <f>D122+D126+D138+D142+D143+D148+D152</f>
        <v>1355430847.46</v>
      </c>
      <c r="E153" s="77" t="s">
        <v>472</v>
      </c>
      <c r="F153" s="78" t="s">
        <v>473</v>
      </c>
      <c r="G153" s="79">
        <v>1063365</v>
      </c>
    </row>
    <row r="154" spans="2:7" ht="13.7" customHeight="1" thickBot="1">
      <c r="B154" s="5"/>
      <c r="C154" s="116"/>
      <c r="D154" s="116"/>
      <c r="E154" s="77"/>
      <c r="F154" s="85" t="s">
        <v>474</v>
      </c>
      <c r="G154" s="94">
        <f>SUM(G144:G153)</f>
        <v>225486909</v>
      </c>
    </row>
    <row r="155" spans="2:7" ht="13.5" customHeight="1" thickBot="1">
      <c r="B155" s="5"/>
      <c r="C155" s="72" t="s">
        <v>475</v>
      </c>
      <c r="D155" s="103">
        <f>G109-D153</f>
        <v>221357386.53999996</v>
      </c>
      <c r="E155" s="77" t="s">
        <v>476</v>
      </c>
      <c r="F155" s="119" t="s">
        <v>477</v>
      </c>
      <c r="G155" s="120">
        <v>63799523</v>
      </c>
    </row>
    <row r="156" spans="2:7" ht="13.7" customHeight="1">
      <c r="C156" s="130"/>
      <c r="D156" s="130"/>
      <c r="E156" s="77" t="s">
        <v>478</v>
      </c>
      <c r="F156" s="121" t="s">
        <v>479</v>
      </c>
      <c r="G156" s="122">
        <v>19003327</v>
      </c>
    </row>
    <row r="157" spans="2:7" ht="13.7" customHeight="1">
      <c r="C157" s="130"/>
      <c r="D157" s="130"/>
      <c r="E157" s="77" t="s">
        <v>480</v>
      </c>
      <c r="F157" s="121" t="s">
        <v>481</v>
      </c>
      <c r="G157" s="122">
        <v>31374558</v>
      </c>
    </row>
    <row r="158" spans="2:7" ht="13.7" customHeight="1">
      <c r="C158" s="130"/>
      <c r="D158" s="130"/>
      <c r="E158" s="77" t="s">
        <v>482</v>
      </c>
      <c r="F158" s="121" t="s">
        <v>483</v>
      </c>
      <c r="G158" s="122">
        <v>0</v>
      </c>
    </row>
    <row r="159" spans="2:7" ht="13.7" customHeight="1">
      <c r="C159" s="130"/>
      <c r="D159" s="130"/>
      <c r="E159" s="77" t="s">
        <v>484</v>
      </c>
      <c r="F159" s="121" t="s">
        <v>485</v>
      </c>
      <c r="G159" s="122">
        <v>0</v>
      </c>
    </row>
    <row r="160" spans="2:7" ht="13.7" customHeight="1">
      <c r="C160" s="130"/>
      <c r="D160" s="130"/>
      <c r="E160" s="77" t="s">
        <v>486</v>
      </c>
      <c r="F160" s="121" t="s">
        <v>487</v>
      </c>
      <c r="G160" s="122">
        <v>0</v>
      </c>
    </row>
    <row r="161" spans="3:7" ht="13.7" customHeight="1">
      <c r="C161" s="130"/>
      <c r="D161" s="130"/>
      <c r="E161" s="77" t="s">
        <v>488</v>
      </c>
      <c r="F161" s="121" t="s">
        <v>489</v>
      </c>
      <c r="G161" s="122">
        <v>202410811</v>
      </c>
    </row>
    <row r="162" spans="3:7" ht="13.7" customHeight="1">
      <c r="C162" s="130"/>
      <c r="D162" s="130"/>
      <c r="E162" s="77" t="s">
        <v>490</v>
      </c>
      <c r="F162" s="121" t="s">
        <v>491</v>
      </c>
      <c r="G162" s="122">
        <v>0</v>
      </c>
    </row>
    <row r="163" spans="3:7" ht="13.7" customHeight="1">
      <c r="C163" s="130"/>
      <c r="D163" s="130"/>
      <c r="E163" s="77" t="s">
        <v>492</v>
      </c>
      <c r="F163" s="121" t="s">
        <v>493</v>
      </c>
      <c r="G163" s="122">
        <v>0</v>
      </c>
    </row>
    <row r="164" spans="3:7" ht="13.7" customHeight="1">
      <c r="C164" s="130"/>
      <c r="D164" s="130"/>
      <c r="E164" s="77" t="s">
        <v>494</v>
      </c>
      <c r="F164" s="121" t="s">
        <v>495</v>
      </c>
      <c r="G164" s="122">
        <v>0</v>
      </c>
    </row>
    <row r="165" spans="3:7" ht="13.7" customHeight="1">
      <c r="C165" s="130"/>
      <c r="D165" s="130"/>
      <c r="E165" s="77" t="s">
        <v>496</v>
      </c>
      <c r="F165" s="121" t="s">
        <v>497</v>
      </c>
      <c r="G165" s="122">
        <v>0</v>
      </c>
    </row>
    <row r="166" spans="3:7" ht="13.7" customHeight="1">
      <c r="C166" s="130"/>
      <c r="D166" s="130"/>
      <c r="E166" s="77" t="s">
        <v>498</v>
      </c>
      <c r="F166" s="121" t="s">
        <v>499</v>
      </c>
      <c r="G166" s="122">
        <v>55520145</v>
      </c>
    </row>
    <row r="167" spans="3:7" ht="13.7" customHeight="1">
      <c r="C167" s="130"/>
      <c r="D167" s="130"/>
      <c r="E167" s="77" t="s">
        <v>500</v>
      </c>
      <c r="F167" s="78" t="s">
        <v>501</v>
      </c>
      <c r="G167" s="79">
        <f>24454360</f>
        <v>24454360</v>
      </c>
    </row>
    <row r="168" spans="3:7" ht="13.7" customHeight="1" thickBot="1">
      <c r="C168" s="130"/>
      <c r="D168" s="130"/>
      <c r="E168" s="77"/>
      <c r="F168" s="85" t="s">
        <v>502</v>
      </c>
      <c r="G168" s="94">
        <f>SUM(G155:G167)</f>
        <v>396562724</v>
      </c>
    </row>
    <row r="169" spans="3:7" ht="13.7" customHeight="1" thickBot="1">
      <c r="C169" s="130"/>
      <c r="D169" s="130"/>
      <c r="E169" s="77"/>
      <c r="F169" s="110" t="s">
        <v>503</v>
      </c>
      <c r="G169" s="126">
        <f>G154-G168</f>
        <v>-171075815</v>
      </c>
    </row>
    <row r="170" spans="3:7" ht="7.5" customHeight="1" thickBot="1">
      <c r="C170" s="130"/>
      <c r="D170" s="130"/>
      <c r="E170" s="77"/>
      <c r="F170" s="116"/>
      <c r="G170" s="116"/>
    </row>
    <row r="171" spans="3:7" ht="13.7" customHeight="1" thickBot="1">
      <c r="C171" s="130"/>
      <c r="D171" s="130"/>
      <c r="E171" s="77"/>
      <c r="F171" s="72" t="s">
        <v>504</v>
      </c>
      <c r="G171" s="131"/>
    </row>
    <row r="172" spans="3:7" ht="13.7" customHeight="1" thickBot="1">
      <c r="C172" s="130"/>
      <c r="D172" s="130"/>
      <c r="E172" s="77"/>
      <c r="F172" s="132"/>
      <c r="G172" s="133">
        <f>+D155+G140+G169</f>
        <v>66616993.539999962</v>
      </c>
    </row>
    <row r="173" spans="3:7" ht="9" customHeight="1" thickBot="1">
      <c r="C173" s="130"/>
      <c r="D173" s="130"/>
      <c r="E173" s="77"/>
      <c r="F173" s="134"/>
      <c r="G173" s="135"/>
    </row>
    <row r="174" spans="3:7" ht="15" customHeight="1" thickBot="1">
      <c r="C174" s="130"/>
      <c r="D174" s="130"/>
      <c r="E174" s="77"/>
      <c r="F174" s="72" t="s">
        <v>505</v>
      </c>
      <c r="G174" s="118">
        <f>+G143</f>
        <v>2021</v>
      </c>
    </row>
    <row r="175" spans="3:7" ht="13.7" customHeight="1">
      <c r="C175" s="130"/>
      <c r="D175" s="130"/>
      <c r="E175" s="77"/>
      <c r="F175" s="119" t="s">
        <v>506</v>
      </c>
      <c r="G175" s="120">
        <v>0</v>
      </c>
    </row>
    <row r="176" spans="3:7" ht="13.7" customHeight="1">
      <c r="C176" s="130"/>
      <c r="D176" s="130"/>
      <c r="E176" s="77"/>
      <c r="F176" s="121" t="s">
        <v>507</v>
      </c>
      <c r="G176" s="122">
        <v>0</v>
      </c>
    </row>
    <row r="177" spans="1:8" ht="13.7" customHeight="1" thickBot="1">
      <c r="C177" s="130"/>
      <c r="D177" s="130"/>
      <c r="E177" s="77"/>
      <c r="F177" s="121" t="s">
        <v>508</v>
      </c>
      <c r="G177" s="122">
        <v>0</v>
      </c>
    </row>
    <row r="178" spans="1:8" ht="13.7" customHeight="1" thickBot="1">
      <c r="C178" s="130"/>
      <c r="D178" s="130"/>
      <c r="E178" s="77"/>
      <c r="F178" s="72" t="s">
        <v>509</v>
      </c>
      <c r="G178" s="103">
        <f>SUM(G175:G177)</f>
        <v>0</v>
      </c>
    </row>
    <row r="179" spans="1:8" ht="9.75" customHeight="1" thickBot="1">
      <c r="C179" s="130"/>
      <c r="D179" s="130"/>
      <c r="E179" s="77"/>
      <c r="F179" s="116"/>
      <c r="G179" s="116"/>
    </row>
    <row r="180" spans="1:8" ht="14.25" customHeight="1" thickBot="1">
      <c r="C180" s="130"/>
      <c r="D180" s="130"/>
      <c r="E180" s="77"/>
      <c r="F180" s="72" t="s">
        <v>519</v>
      </c>
      <c r="G180" s="131"/>
    </row>
    <row r="181" spans="1:8" ht="16.5" customHeight="1" thickBot="1">
      <c r="C181" s="130"/>
      <c r="D181" s="130"/>
      <c r="E181" s="77"/>
      <c r="F181" s="132"/>
      <c r="G181" s="133">
        <f>+G172+G178</f>
        <v>66616993.539999962</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4">
    <mergeCell ref="E1:F1"/>
    <mergeCell ref="E2:F2"/>
    <mergeCell ref="E3:F3"/>
    <mergeCell ref="C3:D3"/>
  </mergeCells>
  <conditionalFormatting sqref="D7:D12">
    <cfRule type="cellIs" dxfId="526" priority="2" stopIfTrue="1" operator="greaterThan">
      <formula>50</formula>
    </cfRule>
    <cfRule type="cellIs" dxfId="525" priority="11" stopIfTrue="1" operator="equal">
      <formula>0</formula>
    </cfRule>
  </conditionalFormatting>
  <conditionalFormatting sqref="D7:D61">
    <cfRule type="cellIs" dxfId="524" priority="9" stopIfTrue="1" operator="between">
      <formula>-0.1</formula>
      <formula>-50</formula>
    </cfRule>
    <cfRule type="cellIs" dxfId="523" priority="10" stopIfTrue="1" operator="between">
      <formula>0.1</formula>
      <formula>50</formula>
    </cfRule>
  </conditionalFormatting>
  <conditionalFormatting sqref="G152:G181 G7:G150">
    <cfRule type="cellIs" dxfId="522" priority="7" stopIfTrue="1" operator="between">
      <formula>-0.1</formula>
      <formula>-50</formula>
    </cfRule>
    <cfRule type="cellIs" dxfId="521" priority="8" stopIfTrue="1" operator="between">
      <formula>0.1</formula>
      <formula>50</formula>
    </cfRule>
  </conditionalFormatting>
  <conditionalFormatting sqref="D111:D155">
    <cfRule type="cellIs" dxfId="520" priority="5" stopIfTrue="1" operator="between">
      <formula>-0.1</formula>
      <formula>-50</formula>
    </cfRule>
    <cfRule type="cellIs" dxfId="519" priority="6" stopIfTrue="1" operator="between">
      <formula>0.1</formula>
      <formula>50</formula>
    </cfRule>
  </conditionalFormatting>
  <conditionalFormatting sqref="G165">
    <cfRule type="expression" dxfId="518" priority="4" stopIfTrue="1">
      <formula>AND($G$165&gt;0,$G$151&gt;0)</formula>
    </cfRule>
  </conditionalFormatting>
  <conditionalFormatting sqref="G151">
    <cfRule type="expression" dxfId="517"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84" numberStoredAsText="1"/>
    <ignoredError sqref="G167 D149" unlockedFormula="1"/>
    <ignoredError sqref="G40"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C182" sqref="C182"/>
    </sheetView>
  </sheetViews>
  <sheetFormatPr baseColWidth="10" defaultColWidth="0" defaultRowHeight="15.75" zeroHeight="1"/>
  <cols>
    <col min="1" max="1" width="3" style="1" customWidth="1"/>
    <col min="2" max="2" width="14.28515625" style="6" hidden="1" customWidth="1"/>
    <col min="3" max="3" width="58" style="19" customWidth="1"/>
    <col min="4" max="4" width="21" style="19" customWidth="1"/>
    <col min="5" max="5" width="3.85546875" style="13" customWidth="1"/>
    <col min="6" max="6" width="57.28515625" style="19" customWidth="1"/>
    <col min="7" max="7" width="21" style="19" customWidth="1"/>
    <col min="8" max="8" width="2.7109375" style="4" customWidth="1"/>
    <col min="9" max="16384" width="0" style="4" hidden="1"/>
  </cols>
  <sheetData>
    <row r="1" spans="1:9">
      <c r="B1" s="2"/>
      <c r="C1" s="255" t="s">
        <v>0</v>
      </c>
      <c r="D1" s="258"/>
      <c r="E1" s="253" t="str">
        <f>[12]Presentacion!C3</f>
        <v xml:space="preserve">UNIVERSAL </v>
      </c>
      <c r="F1" s="253"/>
      <c r="G1" s="136"/>
      <c r="H1" s="3"/>
    </row>
    <row r="2" spans="1:9">
      <c r="B2" s="5"/>
      <c r="C2" s="255" t="s">
        <v>1</v>
      </c>
      <c r="D2" s="258"/>
      <c r="E2" s="253" t="str">
        <f>[12]Presentacion!C4</f>
        <v>Montevideo</v>
      </c>
      <c r="F2" s="253"/>
      <c r="G2" s="136"/>
      <c r="H2" s="3"/>
    </row>
    <row r="3" spans="1:9">
      <c r="B3" s="5"/>
      <c r="C3" s="255" t="s">
        <v>2</v>
      </c>
      <c r="D3" s="255"/>
      <c r="E3" s="254" t="s">
        <v>3</v>
      </c>
      <c r="F3" s="254"/>
      <c r="G3" s="136"/>
      <c r="H3" s="3"/>
    </row>
    <row r="4" spans="1:9" ht="12" customHeight="1" thickBot="1">
      <c r="C4" s="65"/>
      <c r="D4" s="7"/>
      <c r="E4" s="8"/>
      <c r="F4" s="9"/>
      <c r="G4" s="10"/>
    </row>
    <row r="5" spans="1:9" ht="12.75" customHeight="1" thickBot="1">
      <c r="B5" s="11"/>
      <c r="C5" s="72" t="s">
        <v>4</v>
      </c>
      <c r="D5" s="73" t="s">
        <v>5</v>
      </c>
      <c r="E5" s="137"/>
      <c r="F5" s="72" t="s">
        <v>6</v>
      </c>
      <c r="G5" s="73" t="s">
        <v>5</v>
      </c>
      <c r="I5" s="12"/>
    </row>
    <row r="6" spans="1:9" ht="12.75" customHeight="1" thickBot="1">
      <c r="B6" s="11"/>
      <c r="C6" s="75" t="s">
        <v>7</v>
      </c>
      <c r="D6" s="76">
        <f>+[12]E.S.P.!D6</f>
        <v>2021</v>
      </c>
      <c r="E6" s="138"/>
      <c r="F6" s="75" t="s">
        <v>8</v>
      </c>
      <c r="G6" s="76">
        <f>+D6</f>
        <v>2021</v>
      </c>
      <c r="H6" s="12"/>
    </row>
    <row r="7" spans="1:9">
      <c r="B7" s="5" t="s">
        <v>9</v>
      </c>
      <c r="C7" s="78" t="s">
        <v>10</v>
      </c>
      <c r="D7" s="79">
        <v>30622730</v>
      </c>
      <c r="E7" s="138" t="s">
        <v>11</v>
      </c>
      <c r="F7" s="80" t="s">
        <v>12</v>
      </c>
      <c r="G7" s="81">
        <v>15728367</v>
      </c>
    </row>
    <row r="8" spans="1:9">
      <c r="B8" s="5" t="s">
        <v>13</v>
      </c>
      <c r="C8" s="78" t="s">
        <v>14</v>
      </c>
      <c r="D8" s="79">
        <v>3019606</v>
      </c>
      <c r="E8" s="138" t="s">
        <v>15</v>
      </c>
      <c r="F8" s="78" t="s">
        <v>16</v>
      </c>
      <c r="G8" s="82">
        <v>55083792</v>
      </c>
    </row>
    <row r="9" spans="1:9">
      <c r="B9" s="5" t="s">
        <v>17</v>
      </c>
      <c r="C9" s="78" t="s">
        <v>18</v>
      </c>
      <c r="D9" s="79">
        <v>1837421812</v>
      </c>
      <c r="E9" s="138" t="s">
        <v>19</v>
      </c>
      <c r="F9" s="78" t="s">
        <v>20</v>
      </c>
      <c r="G9" s="79">
        <v>64701325</v>
      </c>
    </row>
    <row r="10" spans="1:9">
      <c r="B10" s="5" t="s">
        <v>21</v>
      </c>
      <c r="C10" s="78" t="s">
        <v>22</v>
      </c>
      <c r="D10" s="79">
        <v>196605419</v>
      </c>
      <c r="E10" s="138" t="s">
        <v>23</v>
      </c>
      <c r="F10" s="78" t="s">
        <v>24</v>
      </c>
      <c r="G10" s="79">
        <v>223189257</v>
      </c>
    </row>
    <row r="11" spans="1:9">
      <c r="B11" s="5" t="s">
        <v>25</v>
      </c>
      <c r="C11" s="78" t="s">
        <v>26</v>
      </c>
      <c r="D11" s="79">
        <v>27426812</v>
      </c>
      <c r="E11" s="138" t="s">
        <v>27</v>
      </c>
      <c r="F11" s="78" t="s">
        <v>28</v>
      </c>
      <c r="G11" s="79">
        <v>59910423</v>
      </c>
    </row>
    <row r="12" spans="1:9">
      <c r="B12" s="5" t="s">
        <v>29</v>
      </c>
      <c r="C12" s="78" t="s">
        <v>30</v>
      </c>
      <c r="D12" s="79">
        <v>3904239</v>
      </c>
      <c r="E12" s="138" t="s">
        <v>31</v>
      </c>
      <c r="F12" s="78" t="s">
        <v>32</v>
      </c>
      <c r="G12" s="79">
        <v>57484465</v>
      </c>
    </row>
    <row r="13" spans="1:9">
      <c r="B13" s="5" t="s">
        <v>33</v>
      </c>
      <c r="C13" s="78" t="s">
        <v>34</v>
      </c>
      <c r="D13" s="79">
        <v>0</v>
      </c>
      <c r="E13" s="138" t="s">
        <v>35</v>
      </c>
      <c r="F13" s="78" t="s">
        <v>36</v>
      </c>
      <c r="G13" s="79">
        <v>10668011</v>
      </c>
    </row>
    <row r="14" spans="1:9">
      <c r="A14" s="14"/>
      <c r="B14" s="5" t="s">
        <v>37</v>
      </c>
      <c r="C14" s="78" t="s">
        <v>38</v>
      </c>
      <c r="D14" s="79">
        <v>0</v>
      </c>
      <c r="E14" s="138" t="s">
        <v>39</v>
      </c>
      <c r="F14" s="78" t="s">
        <v>40</v>
      </c>
      <c r="G14" s="79">
        <v>274652096</v>
      </c>
    </row>
    <row r="15" spans="1:9">
      <c r="B15" s="5" t="s">
        <v>41</v>
      </c>
      <c r="C15" s="83" t="s">
        <v>42</v>
      </c>
      <c r="D15" s="79">
        <v>0</v>
      </c>
      <c r="E15" s="138" t="s">
        <v>43</v>
      </c>
      <c r="F15" s="78" t="s">
        <v>44</v>
      </c>
      <c r="G15" s="79">
        <v>192972393</v>
      </c>
    </row>
    <row r="16" spans="1:9">
      <c r="B16" s="5" t="s">
        <v>45</v>
      </c>
      <c r="C16" s="78" t="s">
        <v>46</v>
      </c>
      <c r="D16" s="79">
        <v>0</v>
      </c>
      <c r="E16" s="138" t="s">
        <v>47</v>
      </c>
      <c r="F16" s="78" t="s">
        <v>48</v>
      </c>
      <c r="G16" s="79">
        <v>155041931</v>
      </c>
    </row>
    <row r="17" spans="1:7">
      <c r="B17" s="5" t="s">
        <v>49</v>
      </c>
      <c r="C17" s="78" t="s">
        <v>50</v>
      </c>
      <c r="D17" s="79">
        <v>0</v>
      </c>
      <c r="E17" s="138" t="s">
        <v>51</v>
      </c>
      <c r="F17" s="78" t="s">
        <v>52</v>
      </c>
      <c r="G17" s="79">
        <v>0</v>
      </c>
    </row>
    <row r="18" spans="1:7">
      <c r="A18" s="14"/>
      <c r="B18" s="5" t="s">
        <v>53</v>
      </c>
      <c r="C18" s="78" t="s">
        <v>54</v>
      </c>
      <c r="D18" s="79">
        <v>1633646</v>
      </c>
      <c r="E18" s="138" t="s">
        <v>55</v>
      </c>
      <c r="F18" s="78" t="s">
        <v>56</v>
      </c>
      <c r="G18" s="84">
        <v>38650311</v>
      </c>
    </row>
    <row r="19" spans="1:7" ht="16.5" thickBot="1">
      <c r="A19" s="14"/>
      <c r="B19" s="5" t="s">
        <v>57</v>
      </c>
      <c r="C19" s="78" t="s">
        <v>58</v>
      </c>
      <c r="D19" s="79">
        <v>72984268</v>
      </c>
      <c r="E19" s="138"/>
      <c r="F19" s="85" t="s">
        <v>59</v>
      </c>
      <c r="G19" s="86">
        <f>SUM(G7:G18)</f>
        <v>1148082371</v>
      </c>
    </row>
    <row r="20" spans="1:7" ht="16.5" thickBot="1">
      <c r="B20" s="5"/>
      <c r="C20" s="85" t="s">
        <v>60</v>
      </c>
      <c r="D20" s="86">
        <f>SUM(D7:D19)</f>
        <v>2173618532</v>
      </c>
      <c r="E20" s="138" t="s">
        <v>61</v>
      </c>
      <c r="F20" s="80" t="s">
        <v>62</v>
      </c>
      <c r="G20" s="81">
        <v>719603</v>
      </c>
    </row>
    <row r="21" spans="1:7">
      <c r="B21" s="5"/>
      <c r="C21" s="87" t="s">
        <v>63</v>
      </c>
      <c r="D21" s="88">
        <f>SUM(D22:D28)</f>
        <v>10266348</v>
      </c>
      <c r="E21" s="138" t="s">
        <v>64</v>
      </c>
      <c r="F21" s="78" t="s">
        <v>65</v>
      </c>
      <c r="G21" s="79">
        <v>20911046</v>
      </c>
    </row>
    <row r="22" spans="1:7">
      <c r="B22" s="5" t="s">
        <v>66</v>
      </c>
      <c r="C22" s="78" t="s">
        <v>67</v>
      </c>
      <c r="D22" s="79">
        <v>1476083</v>
      </c>
      <c r="E22" s="138" t="s">
        <v>68</v>
      </c>
      <c r="F22" s="78" t="s">
        <v>69</v>
      </c>
      <c r="G22" s="79">
        <v>17716540</v>
      </c>
    </row>
    <row r="23" spans="1:7">
      <c r="B23" s="5" t="s">
        <v>70</v>
      </c>
      <c r="C23" s="78" t="s">
        <v>71</v>
      </c>
      <c r="D23" s="79">
        <v>3674672</v>
      </c>
      <c r="E23" s="138" t="s">
        <v>72</v>
      </c>
      <c r="F23" s="78" t="s">
        <v>73</v>
      </c>
      <c r="G23" s="79">
        <v>18511964</v>
      </c>
    </row>
    <row r="24" spans="1:7">
      <c r="B24" s="5" t="s">
        <v>74</v>
      </c>
      <c r="C24" s="78" t="s">
        <v>75</v>
      </c>
      <c r="D24" s="79">
        <v>53161</v>
      </c>
      <c r="E24" s="138" t="s">
        <v>76</v>
      </c>
      <c r="F24" s="78" t="s">
        <v>77</v>
      </c>
      <c r="G24" s="79">
        <v>0</v>
      </c>
    </row>
    <row r="25" spans="1:7">
      <c r="B25" s="5" t="s">
        <v>78</v>
      </c>
      <c r="C25" s="78" t="s">
        <v>79</v>
      </c>
      <c r="D25" s="79">
        <v>1098567</v>
      </c>
      <c r="E25" s="138" t="s">
        <v>80</v>
      </c>
      <c r="F25" s="78" t="s">
        <v>81</v>
      </c>
      <c r="G25" s="79">
        <v>7375225</v>
      </c>
    </row>
    <row r="26" spans="1:7">
      <c r="B26" s="5" t="s">
        <v>82</v>
      </c>
      <c r="C26" s="78" t="s">
        <v>83</v>
      </c>
      <c r="D26" s="79">
        <v>1767308</v>
      </c>
      <c r="E26" s="138" t="s">
        <v>84</v>
      </c>
      <c r="F26" s="78" t="s">
        <v>85</v>
      </c>
      <c r="G26" s="84">
        <v>2301264</v>
      </c>
    </row>
    <row r="27" spans="1:7" ht="13.5" customHeight="1" thickBot="1">
      <c r="B27" s="5" t="s">
        <v>86</v>
      </c>
      <c r="C27" s="78" t="s">
        <v>87</v>
      </c>
      <c r="D27" s="79">
        <v>1890104</v>
      </c>
      <c r="E27" s="138"/>
      <c r="F27" s="85" t="s">
        <v>88</v>
      </c>
      <c r="G27" s="86">
        <f>SUM(G20:G26)</f>
        <v>67535642</v>
      </c>
    </row>
    <row r="28" spans="1:7">
      <c r="B28" s="5" t="s">
        <v>89</v>
      </c>
      <c r="C28" s="78" t="s">
        <v>90</v>
      </c>
      <c r="D28" s="79">
        <v>306453</v>
      </c>
      <c r="E28" s="138" t="s">
        <v>91</v>
      </c>
      <c r="F28" s="80" t="s">
        <v>92</v>
      </c>
      <c r="G28" s="81">
        <v>87305874</v>
      </c>
    </row>
    <row r="29" spans="1:7">
      <c r="B29" s="5"/>
      <c r="C29" s="89" t="s">
        <v>93</v>
      </c>
      <c r="D29" s="88">
        <f>SUM(D30:D34)</f>
        <v>101334949</v>
      </c>
      <c r="E29" s="138" t="s">
        <v>94</v>
      </c>
      <c r="F29" s="78" t="s">
        <v>95</v>
      </c>
      <c r="G29" s="79">
        <v>86293654</v>
      </c>
    </row>
    <row r="30" spans="1:7">
      <c r="B30" s="5" t="s">
        <v>96</v>
      </c>
      <c r="C30" s="78" t="s">
        <v>97</v>
      </c>
      <c r="D30" s="79">
        <v>69653014</v>
      </c>
      <c r="E30" s="138" t="s">
        <v>98</v>
      </c>
      <c r="F30" s="78" t="s">
        <v>99</v>
      </c>
      <c r="G30" s="79">
        <v>9990154</v>
      </c>
    </row>
    <row r="31" spans="1:7">
      <c r="B31" s="5" t="s">
        <v>100</v>
      </c>
      <c r="C31" s="78" t="s">
        <v>101</v>
      </c>
      <c r="D31" s="79">
        <v>14459039</v>
      </c>
      <c r="E31" s="138" t="s">
        <v>102</v>
      </c>
      <c r="F31" s="78" t="s">
        <v>103</v>
      </c>
      <c r="G31" s="84">
        <v>6038575</v>
      </c>
    </row>
    <row r="32" spans="1:7" ht="16.5" thickBot="1">
      <c r="B32" s="5" t="s">
        <v>104</v>
      </c>
      <c r="C32" s="78" t="s">
        <v>105</v>
      </c>
      <c r="D32" s="79">
        <v>10769392</v>
      </c>
      <c r="E32" s="138"/>
      <c r="F32" s="85" t="s">
        <v>106</v>
      </c>
      <c r="G32" s="86">
        <f>SUM(G28:G31)</f>
        <v>189628257</v>
      </c>
    </row>
    <row r="33" spans="2:7">
      <c r="B33" s="5" t="s">
        <v>107</v>
      </c>
      <c r="C33" s="78" t="s">
        <v>108</v>
      </c>
      <c r="D33" s="79">
        <v>3155331</v>
      </c>
      <c r="E33" s="138"/>
      <c r="F33" s="89" t="s">
        <v>109</v>
      </c>
      <c r="G33" s="88">
        <f>SUM(G34:G39)</f>
        <v>169037068</v>
      </c>
    </row>
    <row r="34" spans="2:7">
      <c r="B34" s="5" t="s">
        <v>110</v>
      </c>
      <c r="C34" s="78" t="s">
        <v>111</v>
      </c>
      <c r="D34" s="79">
        <v>3298173</v>
      </c>
      <c r="E34" s="138" t="s">
        <v>112</v>
      </c>
      <c r="F34" s="78" t="s">
        <v>113</v>
      </c>
      <c r="G34" s="79">
        <v>6251231</v>
      </c>
    </row>
    <row r="35" spans="2:7" ht="16.5" thickBot="1">
      <c r="B35" s="5"/>
      <c r="C35" s="85" t="s">
        <v>114</v>
      </c>
      <c r="D35" s="86">
        <f>+D21+D29</f>
        <v>111601297</v>
      </c>
      <c r="E35" s="138" t="s">
        <v>115</v>
      </c>
      <c r="F35" s="78" t="s">
        <v>116</v>
      </c>
      <c r="G35" s="79">
        <v>16940767</v>
      </c>
    </row>
    <row r="36" spans="2:7">
      <c r="B36" s="5" t="s">
        <v>117</v>
      </c>
      <c r="C36" s="78" t="s">
        <v>118</v>
      </c>
      <c r="D36" s="79">
        <v>56167121</v>
      </c>
      <c r="E36" s="138" t="s">
        <v>119</v>
      </c>
      <c r="F36" s="78" t="s">
        <v>517</v>
      </c>
      <c r="G36" s="79">
        <v>3549700</v>
      </c>
    </row>
    <row r="37" spans="2:7">
      <c r="B37" s="5" t="s">
        <v>120</v>
      </c>
      <c r="C37" s="78" t="s">
        <v>121</v>
      </c>
      <c r="D37" s="79">
        <v>3817663</v>
      </c>
      <c r="E37" s="138" t="s">
        <v>122</v>
      </c>
      <c r="F37" s="78" t="s">
        <v>123</v>
      </c>
      <c r="G37" s="79">
        <v>9537597</v>
      </c>
    </row>
    <row r="38" spans="2:7">
      <c r="B38" s="5" t="s">
        <v>124</v>
      </c>
      <c r="C38" s="78" t="s">
        <v>125</v>
      </c>
      <c r="D38" s="79">
        <v>0</v>
      </c>
      <c r="E38" s="138" t="s">
        <v>126</v>
      </c>
      <c r="F38" s="78" t="s">
        <v>127</v>
      </c>
      <c r="G38" s="79">
        <v>20055060</v>
      </c>
    </row>
    <row r="39" spans="2:7">
      <c r="B39" s="5" t="s">
        <v>128</v>
      </c>
      <c r="C39" s="78" t="s">
        <v>129</v>
      </c>
      <c r="D39" s="79">
        <v>9413264</v>
      </c>
      <c r="E39" s="138" t="s">
        <v>130</v>
      </c>
      <c r="F39" s="78" t="s">
        <v>131</v>
      </c>
      <c r="G39" s="79">
        <v>112702713</v>
      </c>
    </row>
    <row r="40" spans="2:7">
      <c r="B40" s="5" t="s">
        <v>132</v>
      </c>
      <c r="C40" s="78" t="s">
        <v>133</v>
      </c>
      <c r="D40" s="79">
        <v>8488857</v>
      </c>
      <c r="E40" s="138"/>
      <c r="F40" s="90" t="s">
        <v>134</v>
      </c>
      <c r="G40" s="91">
        <f>SUM(G41:G46)</f>
        <v>51053298</v>
      </c>
    </row>
    <row r="41" spans="2:7">
      <c r="B41" s="5" t="s">
        <v>135</v>
      </c>
      <c r="C41" s="78" t="s">
        <v>136</v>
      </c>
      <c r="D41" s="79">
        <v>34547747</v>
      </c>
      <c r="E41" s="138" t="s">
        <v>137</v>
      </c>
      <c r="F41" s="78" t="s">
        <v>138</v>
      </c>
      <c r="G41" s="79">
        <v>192789</v>
      </c>
    </row>
    <row r="42" spans="2:7">
      <c r="B42" s="5" t="s">
        <v>139</v>
      </c>
      <c r="C42" s="78" t="s">
        <v>140</v>
      </c>
      <c r="D42" s="79">
        <v>3874992</v>
      </c>
      <c r="E42" s="138" t="s">
        <v>141</v>
      </c>
      <c r="F42" s="78" t="s">
        <v>142</v>
      </c>
      <c r="G42" s="79">
        <v>633859</v>
      </c>
    </row>
    <row r="43" spans="2:7">
      <c r="B43" s="5" t="s">
        <v>143</v>
      </c>
      <c r="C43" s="78" t="s">
        <v>144</v>
      </c>
      <c r="D43" s="79">
        <v>147419</v>
      </c>
      <c r="E43" s="138" t="s">
        <v>145</v>
      </c>
      <c r="F43" s="78" t="s">
        <v>146</v>
      </c>
      <c r="G43" s="79">
        <v>4000390</v>
      </c>
    </row>
    <row r="44" spans="2:7">
      <c r="B44" s="5" t="s">
        <v>147</v>
      </c>
      <c r="C44" s="78" t="s">
        <v>148</v>
      </c>
      <c r="D44" s="79">
        <v>0</v>
      </c>
      <c r="E44" s="138" t="s">
        <v>149</v>
      </c>
      <c r="F44" s="78" t="s">
        <v>150</v>
      </c>
      <c r="G44" s="79">
        <v>1185629</v>
      </c>
    </row>
    <row r="45" spans="2:7">
      <c r="B45" s="5" t="s">
        <v>151</v>
      </c>
      <c r="C45" s="78" t="s">
        <v>152</v>
      </c>
      <c r="D45" s="79">
        <v>39406564</v>
      </c>
      <c r="E45" s="138" t="s">
        <v>153</v>
      </c>
      <c r="F45" s="78" t="s">
        <v>154</v>
      </c>
      <c r="G45" s="79">
        <v>1149964</v>
      </c>
    </row>
    <row r="46" spans="2:7">
      <c r="B46" s="5" t="s">
        <v>155</v>
      </c>
      <c r="C46" s="78" t="s">
        <v>156</v>
      </c>
      <c r="D46" s="79">
        <v>5520063</v>
      </c>
      <c r="E46" s="138" t="s">
        <v>157</v>
      </c>
      <c r="F46" s="78" t="s">
        <v>158</v>
      </c>
      <c r="G46" s="79">
        <v>43890667</v>
      </c>
    </row>
    <row r="47" spans="2:7" ht="16.5" thickBot="1">
      <c r="B47" s="5"/>
      <c r="C47" s="85" t="s">
        <v>159</v>
      </c>
      <c r="D47" s="86">
        <f>SUM(D36:D46)</f>
        <v>161383690</v>
      </c>
      <c r="E47" s="138" t="s">
        <v>160</v>
      </c>
      <c r="F47" s="78" t="s">
        <v>161</v>
      </c>
      <c r="G47" s="84">
        <v>7477720</v>
      </c>
    </row>
    <row r="48" spans="2:7" ht="16.5" thickBot="1">
      <c r="B48" s="5"/>
      <c r="C48" s="92" t="s">
        <v>162</v>
      </c>
      <c r="D48" s="93"/>
      <c r="E48" s="138"/>
      <c r="F48" s="85" t="s">
        <v>163</v>
      </c>
      <c r="G48" s="94">
        <f>+G33+G40+G47</f>
        <v>227568086</v>
      </c>
    </row>
    <row r="49" spans="2:7">
      <c r="B49" s="5" t="s">
        <v>164</v>
      </c>
      <c r="C49" s="95" t="s">
        <v>165</v>
      </c>
      <c r="D49" s="96">
        <v>0</v>
      </c>
      <c r="E49" s="138" t="s">
        <v>166</v>
      </c>
      <c r="F49" s="80" t="s">
        <v>167</v>
      </c>
      <c r="G49" s="81">
        <v>36467151</v>
      </c>
    </row>
    <row r="50" spans="2:7">
      <c r="B50" s="5" t="s">
        <v>168</v>
      </c>
      <c r="C50" s="78" t="s">
        <v>162</v>
      </c>
      <c r="D50" s="79">
        <v>50734371</v>
      </c>
      <c r="E50" s="138" t="s">
        <v>169</v>
      </c>
      <c r="F50" s="78" t="s">
        <v>170</v>
      </c>
      <c r="G50" s="79">
        <v>76887929</v>
      </c>
    </row>
    <row r="51" spans="2:7">
      <c r="B51" s="5" t="s">
        <v>171</v>
      </c>
      <c r="C51" s="78" t="s">
        <v>172</v>
      </c>
      <c r="D51" s="84">
        <v>835267</v>
      </c>
      <c r="E51" s="138" t="s">
        <v>173</v>
      </c>
      <c r="F51" s="78" t="s">
        <v>174</v>
      </c>
      <c r="G51" s="79">
        <v>4055475</v>
      </c>
    </row>
    <row r="52" spans="2:7" ht="16.5" thickBot="1">
      <c r="B52" s="11"/>
      <c r="C52" s="85" t="s">
        <v>175</v>
      </c>
      <c r="D52" s="86">
        <f>SUM(D49:D51)</f>
        <v>51569638</v>
      </c>
      <c r="E52" s="138" t="s">
        <v>176</v>
      </c>
      <c r="F52" s="78" t="s">
        <v>177</v>
      </c>
      <c r="G52" s="79">
        <v>2759084</v>
      </c>
    </row>
    <row r="53" spans="2:7" ht="16.5" thickBot="1">
      <c r="B53" s="5"/>
      <c r="C53" s="75" t="s">
        <v>178</v>
      </c>
      <c r="D53" s="97">
        <f>D20+D35+D47+D52</f>
        <v>2498173157</v>
      </c>
      <c r="E53" s="138" t="s">
        <v>179</v>
      </c>
      <c r="F53" s="78" t="s">
        <v>180</v>
      </c>
      <c r="G53" s="79">
        <v>11312384</v>
      </c>
    </row>
    <row r="54" spans="2:7">
      <c r="C54" s="98"/>
      <c r="D54" s="99"/>
      <c r="E54" s="138" t="s">
        <v>181</v>
      </c>
      <c r="F54" s="78" t="s">
        <v>182</v>
      </c>
      <c r="G54" s="79">
        <v>792539</v>
      </c>
    </row>
    <row r="55" spans="2:7">
      <c r="C55" s="100" t="s">
        <v>183</v>
      </c>
      <c r="D55" s="101"/>
      <c r="E55" s="138" t="s">
        <v>184</v>
      </c>
      <c r="F55" s="78" t="s">
        <v>185</v>
      </c>
      <c r="G55" s="79">
        <v>13403227</v>
      </c>
    </row>
    <row r="56" spans="2:7">
      <c r="B56" s="5" t="s">
        <v>186</v>
      </c>
      <c r="C56" s="102" t="s">
        <v>187</v>
      </c>
      <c r="D56" s="79"/>
      <c r="E56" s="138" t="s">
        <v>188</v>
      </c>
      <c r="F56" s="78" t="s">
        <v>189</v>
      </c>
      <c r="G56" s="84">
        <v>4611610</v>
      </c>
    </row>
    <row r="57" spans="2:7" ht="14.25" customHeight="1" thickBot="1">
      <c r="B57" s="5" t="s">
        <v>190</v>
      </c>
      <c r="C57" s="102" t="s">
        <v>191</v>
      </c>
      <c r="D57" s="79"/>
      <c r="E57" s="138"/>
      <c r="F57" s="85" t="s">
        <v>192</v>
      </c>
      <c r="G57" s="86">
        <f>SUM(G49:G56)</f>
        <v>150289399</v>
      </c>
    </row>
    <row r="58" spans="2:7">
      <c r="B58" s="5" t="s">
        <v>193</v>
      </c>
      <c r="C58" s="102" t="s">
        <v>194</v>
      </c>
      <c r="D58" s="79"/>
      <c r="E58" s="138" t="s">
        <v>195</v>
      </c>
      <c r="F58" s="80" t="s">
        <v>196</v>
      </c>
      <c r="G58" s="81">
        <v>121704401</v>
      </c>
    </row>
    <row r="59" spans="2:7">
      <c r="B59" s="5" t="s">
        <v>197</v>
      </c>
      <c r="C59" s="78" t="s">
        <v>198</v>
      </c>
      <c r="D59" s="84"/>
      <c r="E59" s="138" t="s">
        <v>199</v>
      </c>
      <c r="F59" s="78" t="s">
        <v>200</v>
      </c>
      <c r="G59" s="79">
        <v>17723903</v>
      </c>
    </row>
    <row r="60" spans="2:7" ht="16.5" thickBot="1">
      <c r="B60" s="5"/>
      <c r="C60" s="85" t="s">
        <v>201</v>
      </c>
      <c r="D60" s="86">
        <f>SUM(D56:D59)</f>
        <v>0</v>
      </c>
      <c r="E60" s="138" t="s">
        <v>202</v>
      </c>
      <c r="F60" s="78" t="s">
        <v>203</v>
      </c>
      <c r="G60" s="79">
        <v>2941787</v>
      </c>
    </row>
    <row r="61" spans="2:7" ht="16.5" thickBot="1">
      <c r="B61" s="15"/>
      <c r="C61" s="72" t="s">
        <v>204</v>
      </c>
      <c r="D61" s="103">
        <f>D53+D60</f>
        <v>2498173157</v>
      </c>
      <c r="E61" s="138" t="s">
        <v>205</v>
      </c>
      <c r="F61" s="78" t="s">
        <v>206</v>
      </c>
      <c r="G61" s="79">
        <v>8221109</v>
      </c>
    </row>
    <row r="62" spans="2:7">
      <c r="B62" s="16"/>
      <c r="C62" s="116"/>
      <c r="D62" s="116"/>
      <c r="E62" s="138" t="s">
        <v>207</v>
      </c>
      <c r="F62" s="78" t="s">
        <v>208</v>
      </c>
      <c r="G62" s="79">
        <v>0</v>
      </c>
    </row>
    <row r="63" spans="2:7">
      <c r="B63" s="17"/>
      <c r="C63" s="222" t="s">
        <v>8</v>
      </c>
      <c r="D63" s="222"/>
      <c r="E63" s="138" t="s">
        <v>209</v>
      </c>
      <c r="F63" s="78" t="s">
        <v>210</v>
      </c>
      <c r="G63" s="79">
        <v>11685799</v>
      </c>
    </row>
    <row r="64" spans="2:7">
      <c r="B64" s="18" t="s">
        <v>211</v>
      </c>
      <c r="C64" s="223" t="s">
        <v>212</v>
      </c>
      <c r="D64" s="223">
        <f>[12]Amortizaciones!D6</f>
        <v>21560479</v>
      </c>
      <c r="E64" s="138" t="s">
        <v>213</v>
      </c>
      <c r="F64" s="78" t="s">
        <v>214</v>
      </c>
      <c r="G64" s="79">
        <v>10323218</v>
      </c>
    </row>
    <row r="65" spans="2:7">
      <c r="B65" s="18" t="s">
        <v>215</v>
      </c>
      <c r="C65" s="223" t="s">
        <v>216</v>
      </c>
      <c r="D65" s="223">
        <f>[12]Amortizaciones!D7</f>
        <v>119263</v>
      </c>
      <c r="E65" s="138" t="s">
        <v>217</v>
      </c>
      <c r="F65" s="78" t="s">
        <v>218</v>
      </c>
      <c r="G65" s="79">
        <v>30131293</v>
      </c>
    </row>
    <row r="66" spans="2:7">
      <c r="B66" s="18" t="s">
        <v>219</v>
      </c>
      <c r="C66" s="223" t="s">
        <v>220</v>
      </c>
      <c r="D66" s="223">
        <f>[12]Amortizaciones!D8</f>
        <v>5886022</v>
      </c>
      <c r="E66" s="138" t="s">
        <v>221</v>
      </c>
      <c r="F66" s="78" t="s">
        <v>222</v>
      </c>
      <c r="G66" s="79">
        <v>17179522</v>
      </c>
    </row>
    <row r="67" spans="2:7">
      <c r="B67" s="18" t="s">
        <v>223</v>
      </c>
      <c r="C67" s="223" t="s">
        <v>224</v>
      </c>
      <c r="D67" s="223">
        <f>[12]Amortizaciones!D9</f>
        <v>0</v>
      </c>
      <c r="E67" s="138" t="s">
        <v>225</v>
      </c>
      <c r="F67" s="78" t="s">
        <v>226</v>
      </c>
      <c r="G67" s="79">
        <v>23369942</v>
      </c>
    </row>
    <row r="68" spans="2:7">
      <c r="B68" s="18" t="s">
        <v>227</v>
      </c>
      <c r="C68" s="223" t="s">
        <v>228</v>
      </c>
      <c r="D68" s="223">
        <f>[12]Amortizaciones!D10</f>
        <v>860055</v>
      </c>
      <c r="E68" s="138" t="s">
        <v>229</v>
      </c>
      <c r="F68" s="78" t="s">
        <v>230</v>
      </c>
      <c r="G68" s="79">
        <v>2043741</v>
      </c>
    </row>
    <row r="69" spans="2:7">
      <c r="B69" s="18" t="s">
        <v>231</v>
      </c>
      <c r="C69" s="223" t="s">
        <v>232</v>
      </c>
      <c r="D69" s="223">
        <f>[12]Amortizaciones!D11</f>
        <v>152715</v>
      </c>
      <c r="E69" s="138" t="s">
        <v>233</v>
      </c>
      <c r="F69" s="78" t="s">
        <v>234</v>
      </c>
      <c r="G69" s="79">
        <v>2234095</v>
      </c>
    </row>
    <row r="70" spans="2:7">
      <c r="B70" s="18" t="s">
        <v>235</v>
      </c>
      <c r="C70" s="223" t="s">
        <v>236</v>
      </c>
      <c r="D70" s="223">
        <f>[12]Amortizaciones!D12</f>
        <v>0</v>
      </c>
      <c r="E70" s="138" t="s">
        <v>237</v>
      </c>
      <c r="F70" s="78" t="s">
        <v>238</v>
      </c>
      <c r="G70" s="79">
        <v>14403710</v>
      </c>
    </row>
    <row r="71" spans="2:7">
      <c r="B71" s="18" t="s">
        <v>239</v>
      </c>
      <c r="C71" s="223" t="s">
        <v>240</v>
      </c>
      <c r="D71" s="223">
        <f>[12]Amortizaciones!D13</f>
        <v>1540034</v>
      </c>
      <c r="E71" s="138" t="s">
        <v>241</v>
      </c>
      <c r="F71" s="78" t="s">
        <v>242</v>
      </c>
      <c r="G71" s="79">
        <v>1189340</v>
      </c>
    </row>
    <row r="72" spans="2:7">
      <c r="B72" s="18" t="s">
        <v>243</v>
      </c>
      <c r="C72" s="223" t="s">
        <v>244</v>
      </c>
      <c r="D72" s="223">
        <f>[12]Amortizaciones!D14</f>
        <v>0</v>
      </c>
      <c r="E72" s="138" t="s">
        <v>245</v>
      </c>
      <c r="F72" s="78" t="s">
        <v>246</v>
      </c>
      <c r="G72" s="79">
        <v>13531801</v>
      </c>
    </row>
    <row r="73" spans="2:7">
      <c r="B73" s="18" t="s">
        <v>247</v>
      </c>
      <c r="C73" s="223" t="s">
        <v>248</v>
      </c>
      <c r="D73" s="223">
        <f>[12]Amortizaciones!D15</f>
        <v>602714</v>
      </c>
      <c r="E73" s="138" t="s">
        <v>249</v>
      </c>
      <c r="F73" s="78" t="s">
        <v>250</v>
      </c>
      <c r="G73" s="79">
        <v>1575328</v>
      </c>
    </row>
    <row r="74" spans="2:7">
      <c r="B74" s="18" t="s">
        <v>251</v>
      </c>
      <c r="C74" s="223" t="s">
        <v>252</v>
      </c>
      <c r="D74" s="223">
        <f>[12]Amortizaciones!D16</f>
        <v>0</v>
      </c>
      <c r="E74" s="138" t="s">
        <v>253</v>
      </c>
      <c r="F74" s="78" t="s">
        <v>254</v>
      </c>
      <c r="G74" s="79">
        <v>111424</v>
      </c>
    </row>
    <row r="75" spans="2:7">
      <c r="B75" s="18" t="s">
        <v>255</v>
      </c>
      <c r="C75" s="223" t="s">
        <v>256</v>
      </c>
      <c r="D75" s="223">
        <f>[12]Amortizaciones!D17</f>
        <v>0</v>
      </c>
      <c r="E75" s="138" t="s">
        <v>257</v>
      </c>
      <c r="F75" s="78" t="s">
        <v>258</v>
      </c>
      <c r="G75" s="79">
        <v>6035906</v>
      </c>
    </row>
    <row r="76" spans="2:7">
      <c r="B76" s="18" t="s">
        <v>259</v>
      </c>
      <c r="C76" s="223" t="s">
        <v>260</v>
      </c>
      <c r="D76" s="223">
        <f>[12]Amortizaciones!D18</f>
        <v>0</v>
      </c>
      <c r="E76" s="138" t="s">
        <v>261</v>
      </c>
      <c r="F76" s="78" t="s">
        <v>262</v>
      </c>
      <c r="G76" s="79">
        <v>6907540</v>
      </c>
    </row>
    <row r="77" spans="2:7">
      <c r="B77" s="18" t="s">
        <v>263</v>
      </c>
      <c r="C77" s="223" t="s">
        <v>264</v>
      </c>
      <c r="D77" s="223">
        <f>SUM(D64:D76)</f>
        <v>30721282</v>
      </c>
      <c r="E77" s="138" t="s">
        <v>265</v>
      </c>
      <c r="F77" s="78" t="s">
        <v>266</v>
      </c>
      <c r="G77" s="79">
        <v>117856156</v>
      </c>
    </row>
    <row r="78" spans="2:7">
      <c r="B78" s="18"/>
      <c r="C78" s="223"/>
      <c r="D78" s="223"/>
      <c r="E78" s="138" t="s">
        <v>267</v>
      </c>
      <c r="F78" s="78" t="s">
        <v>268</v>
      </c>
      <c r="G78" s="84">
        <v>13742709</v>
      </c>
    </row>
    <row r="79" spans="2:7" ht="16.5" thickBot="1">
      <c r="B79" s="18"/>
      <c r="C79" s="222" t="s">
        <v>269</v>
      </c>
      <c r="D79" s="224"/>
      <c r="E79" s="138"/>
      <c r="F79" s="85" t="s">
        <v>270</v>
      </c>
      <c r="G79" s="86">
        <f>SUM(G58:G78)</f>
        <v>422912724</v>
      </c>
    </row>
    <row r="80" spans="2:7">
      <c r="B80" s="18" t="s">
        <v>271</v>
      </c>
      <c r="C80" s="223" t="s">
        <v>236</v>
      </c>
      <c r="D80" s="223">
        <f>[12]Amortizaciones!D22</f>
        <v>1917831</v>
      </c>
      <c r="E80" s="138" t="s">
        <v>272</v>
      </c>
      <c r="F80" s="80" t="s">
        <v>273</v>
      </c>
      <c r="G80" s="81">
        <v>15456</v>
      </c>
    </row>
    <row r="81" spans="2:7">
      <c r="B81" s="18" t="s">
        <v>274</v>
      </c>
      <c r="C81" s="223" t="s">
        <v>240</v>
      </c>
      <c r="D81" s="223">
        <f>[12]Amortizaciones!D23</f>
        <v>0</v>
      </c>
      <c r="E81" s="138" t="s">
        <v>275</v>
      </c>
      <c r="F81" s="78" t="s">
        <v>276</v>
      </c>
      <c r="G81" s="79">
        <v>9667409</v>
      </c>
    </row>
    <row r="82" spans="2:7">
      <c r="B82" s="18" t="s">
        <v>277</v>
      </c>
      <c r="C82" s="223" t="s">
        <v>244</v>
      </c>
      <c r="D82" s="223">
        <f>[12]Amortizaciones!D24</f>
        <v>2773371</v>
      </c>
      <c r="E82" s="138" t="s">
        <v>278</v>
      </c>
      <c r="F82" s="78" t="s">
        <v>279</v>
      </c>
      <c r="G82" s="79">
        <v>10015526</v>
      </c>
    </row>
    <row r="83" spans="2:7">
      <c r="B83" s="18" t="s">
        <v>280</v>
      </c>
      <c r="C83" s="223" t="s">
        <v>248</v>
      </c>
      <c r="D83" s="223">
        <f>[12]Amortizaciones!D25</f>
        <v>0</v>
      </c>
      <c r="E83" s="138" t="s">
        <v>281</v>
      </c>
      <c r="F83" s="78" t="s">
        <v>282</v>
      </c>
      <c r="G83" s="79">
        <v>984767</v>
      </c>
    </row>
    <row r="84" spans="2:7">
      <c r="B84" s="18" t="s">
        <v>283</v>
      </c>
      <c r="C84" s="223" t="s">
        <v>284</v>
      </c>
      <c r="D84" s="223">
        <v>0</v>
      </c>
      <c r="E84" s="138" t="s">
        <v>285</v>
      </c>
      <c r="F84" s="78" t="s">
        <v>286</v>
      </c>
      <c r="G84" s="79">
        <v>7911447</v>
      </c>
    </row>
    <row r="85" spans="2:7">
      <c r="B85" s="18" t="s">
        <v>287</v>
      </c>
      <c r="C85" s="223" t="s">
        <v>288</v>
      </c>
      <c r="D85" s="223">
        <f>[12]Amortizaciones!D27</f>
        <v>0</v>
      </c>
      <c r="E85" s="138" t="s">
        <v>289</v>
      </c>
      <c r="F85" s="78" t="s">
        <v>290</v>
      </c>
      <c r="G85" s="79">
        <v>0</v>
      </c>
    </row>
    <row r="86" spans="2:7" ht="13.5" customHeight="1">
      <c r="B86" s="18" t="s">
        <v>291</v>
      </c>
      <c r="C86" s="223" t="s">
        <v>292</v>
      </c>
      <c r="D86" s="223">
        <f>[12]Amortizaciones!D28</f>
        <v>0</v>
      </c>
      <c r="E86" s="138" t="s">
        <v>293</v>
      </c>
      <c r="F86" s="78" t="s">
        <v>294</v>
      </c>
      <c r="G86" s="79">
        <v>1845758</v>
      </c>
    </row>
    <row r="87" spans="2:7" ht="13.5" customHeight="1">
      <c r="B87" s="18" t="s">
        <v>295</v>
      </c>
      <c r="C87" s="223" t="s">
        <v>296</v>
      </c>
      <c r="D87" s="223">
        <f>[12]Amortizaciones!D29</f>
        <v>58838</v>
      </c>
      <c r="E87" s="138" t="s">
        <v>297</v>
      </c>
      <c r="F87" s="78" t="s">
        <v>298</v>
      </c>
      <c r="G87" s="79">
        <v>1659916</v>
      </c>
    </row>
    <row r="88" spans="2:7" ht="13.5" customHeight="1">
      <c r="B88" s="18" t="s">
        <v>299</v>
      </c>
      <c r="C88" s="223" t="s">
        <v>300</v>
      </c>
      <c r="D88" s="223">
        <f>[12]Amortizaciones!D30</f>
        <v>2503820</v>
      </c>
      <c r="E88" s="138" t="s">
        <v>301</v>
      </c>
      <c r="F88" s="78" t="s">
        <v>302</v>
      </c>
      <c r="G88" s="79">
        <v>0</v>
      </c>
    </row>
    <row r="89" spans="2:7">
      <c r="B89" s="18" t="s">
        <v>303</v>
      </c>
      <c r="C89" s="223" t="s">
        <v>212</v>
      </c>
      <c r="D89" s="223">
        <f>[12]Amortizaciones!D31</f>
        <v>0</v>
      </c>
      <c r="E89" s="138" t="s">
        <v>304</v>
      </c>
      <c r="F89" s="78" t="s">
        <v>305</v>
      </c>
      <c r="G89" s="79">
        <v>42399453</v>
      </c>
    </row>
    <row r="90" spans="2:7" ht="14.25" customHeight="1">
      <c r="B90" s="18" t="s">
        <v>306</v>
      </c>
      <c r="C90" s="223" t="s">
        <v>228</v>
      </c>
      <c r="D90" s="223">
        <f>[12]Amortizaciones!D32</f>
        <v>0</v>
      </c>
      <c r="E90" s="138" t="s">
        <v>307</v>
      </c>
      <c r="F90" s="78" t="s">
        <v>308</v>
      </c>
      <c r="G90" s="79">
        <v>1067265</v>
      </c>
    </row>
    <row r="91" spans="2:7" ht="14.25" customHeight="1">
      <c r="B91" s="18" t="s">
        <v>309</v>
      </c>
      <c r="C91" s="223" t="s">
        <v>310</v>
      </c>
      <c r="D91" s="223">
        <f>SUM(D80:D90)</f>
        <v>7253860</v>
      </c>
      <c r="E91" s="225" t="s">
        <v>311</v>
      </c>
      <c r="F91" s="78" t="s">
        <v>312</v>
      </c>
      <c r="G91" s="79">
        <v>798191</v>
      </c>
    </row>
    <row r="92" spans="2:7" ht="14.25" customHeight="1">
      <c r="B92" s="18"/>
      <c r="C92" s="226" t="s">
        <v>313</v>
      </c>
      <c r="D92" s="223">
        <f>D77+D91</f>
        <v>37975142</v>
      </c>
      <c r="E92" s="225" t="s">
        <v>314</v>
      </c>
      <c r="F92" s="78" t="s">
        <v>315</v>
      </c>
      <c r="G92" s="79">
        <v>132753</v>
      </c>
    </row>
    <row r="93" spans="2:7">
      <c r="C93" s="116"/>
      <c r="D93" s="116"/>
      <c r="E93" s="225" t="s">
        <v>316</v>
      </c>
      <c r="F93" s="78" t="s">
        <v>317</v>
      </c>
      <c r="G93" s="79">
        <v>3287085</v>
      </c>
    </row>
    <row r="94" spans="2:7">
      <c r="C94" s="116"/>
      <c r="D94" s="116"/>
      <c r="E94" s="225" t="s">
        <v>318</v>
      </c>
      <c r="F94" s="78" t="s">
        <v>319</v>
      </c>
      <c r="G94" s="84">
        <v>2620627</v>
      </c>
    </row>
    <row r="95" spans="2:7" ht="13.5" customHeight="1" thickBot="1">
      <c r="C95" s="116"/>
      <c r="D95" s="116"/>
      <c r="E95" s="138"/>
      <c r="F95" s="85" t="s">
        <v>320</v>
      </c>
      <c r="G95" s="86">
        <f>SUM(G80:G94)</f>
        <v>82405653</v>
      </c>
    </row>
    <row r="96" spans="2:7">
      <c r="C96" s="116"/>
      <c r="D96" s="116"/>
      <c r="E96" s="225" t="s">
        <v>321</v>
      </c>
      <c r="F96" s="80" t="s">
        <v>322</v>
      </c>
      <c r="G96" s="81">
        <v>4701351</v>
      </c>
    </row>
    <row r="97" spans="2:7">
      <c r="C97" s="116"/>
      <c r="D97" s="116"/>
      <c r="E97" s="225" t="s">
        <v>323</v>
      </c>
      <c r="F97" s="78" t="s">
        <v>324</v>
      </c>
      <c r="G97" s="79">
        <v>3853525</v>
      </c>
    </row>
    <row r="98" spans="2:7">
      <c r="C98" s="116"/>
      <c r="D98" s="116"/>
      <c r="E98" s="225" t="s">
        <v>325</v>
      </c>
      <c r="F98" s="78" t="s">
        <v>326</v>
      </c>
      <c r="G98" s="79">
        <v>800986</v>
      </c>
    </row>
    <row r="99" spans="2:7">
      <c r="C99" s="116"/>
      <c r="D99" s="116"/>
      <c r="E99" s="225" t="s">
        <v>327</v>
      </c>
      <c r="F99" s="78" t="s">
        <v>328</v>
      </c>
      <c r="G99" s="79">
        <v>804938</v>
      </c>
    </row>
    <row r="100" spans="2:7">
      <c r="C100" s="116"/>
      <c r="D100" s="116"/>
      <c r="E100" s="225" t="s">
        <v>329</v>
      </c>
      <c r="F100" s="78" t="s">
        <v>330</v>
      </c>
      <c r="G100" s="84">
        <f>316083+248</f>
        <v>316331</v>
      </c>
    </row>
    <row r="101" spans="2:7" ht="12.75" customHeight="1" thickBot="1">
      <c r="C101" s="116"/>
      <c r="D101" s="116"/>
      <c r="E101" s="138"/>
      <c r="F101" s="85" t="s">
        <v>331</v>
      </c>
      <c r="G101" s="86">
        <f>SUM(G96:G100)</f>
        <v>10477131</v>
      </c>
    </row>
    <row r="102" spans="2:7" ht="12.75" customHeight="1" thickBot="1">
      <c r="C102" s="116"/>
      <c r="D102" s="116"/>
      <c r="E102" s="225"/>
      <c r="F102" s="110" t="s">
        <v>332</v>
      </c>
      <c r="G102" s="111">
        <f>[12]Amortizaciones!D19</f>
        <v>30721282</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2329620545</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168552612</v>
      </c>
    </row>
    <row r="110" spans="2:7" ht="6.75" customHeight="1" thickBot="1">
      <c r="B110" s="5"/>
      <c r="C110" s="227"/>
      <c r="D110" s="227"/>
      <c r="E110" s="138"/>
      <c r="F110" s="116"/>
      <c r="G110" s="116"/>
    </row>
    <row r="111" spans="2:7" ht="15" customHeight="1" thickBot="1">
      <c r="C111" s="72" t="s">
        <v>269</v>
      </c>
      <c r="D111" s="118">
        <f>+[12]E.S.P.!D6</f>
        <v>2021</v>
      </c>
      <c r="E111" s="225"/>
      <c r="F111" s="72" t="s">
        <v>340</v>
      </c>
      <c r="G111" s="118">
        <f>+[12]E.S.P.!D6</f>
        <v>2021</v>
      </c>
    </row>
    <row r="112" spans="2:7" ht="13.7" customHeight="1">
      <c r="B112" s="5" t="s">
        <v>341</v>
      </c>
      <c r="C112" s="119" t="s">
        <v>342</v>
      </c>
      <c r="D112" s="120">
        <v>5938154</v>
      </c>
      <c r="E112" s="138" t="s">
        <v>343</v>
      </c>
      <c r="F112" s="119" t="s">
        <v>308</v>
      </c>
      <c r="G112" s="120">
        <v>467690</v>
      </c>
    </row>
    <row r="113" spans="2:7" ht="13.7" customHeight="1">
      <c r="B113" s="5" t="s">
        <v>344</v>
      </c>
      <c r="C113" s="121" t="s">
        <v>345</v>
      </c>
      <c r="D113" s="122">
        <v>107554477</v>
      </c>
      <c r="E113" s="138" t="s">
        <v>346</v>
      </c>
      <c r="F113" s="121" t="s">
        <v>347</v>
      </c>
      <c r="G113" s="122">
        <v>0</v>
      </c>
    </row>
    <row r="114" spans="2:7" ht="13.7" customHeight="1">
      <c r="B114" s="5" t="s">
        <v>348</v>
      </c>
      <c r="C114" s="121" t="s">
        <v>48</v>
      </c>
      <c r="D114" s="122">
        <v>0</v>
      </c>
      <c r="E114" s="138" t="s">
        <v>349</v>
      </c>
      <c r="F114" s="121" t="s">
        <v>350</v>
      </c>
      <c r="G114" s="122">
        <v>112173</v>
      </c>
    </row>
    <row r="115" spans="2:7" ht="13.7" customHeight="1">
      <c r="B115" s="5" t="s">
        <v>351</v>
      </c>
      <c r="C115" s="121" t="s">
        <v>352</v>
      </c>
      <c r="D115" s="122">
        <v>311103</v>
      </c>
      <c r="E115" s="138" t="s">
        <v>353</v>
      </c>
      <c r="F115" s="121" t="s">
        <v>354</v>
      </c>
      <c r="G115" s="122">
        <v>2507204</v>
      </c>
    </row>
    <row r="116" spans="2:7" ht="13.7" customHeight="1">
      <c r="B116" s="5" t="s">
        <v>355</v>
      </c>
      <c r="C116" s="121" t="s">
        <v>356</v>
      </c>
      <c r="D116" s="122">
        <v>5638934</v>
      </c>
      <c r="E116" s="138" t="s">
        <v>357</v>
      </c>
      <c r="F116" s="121" t="s">
        <v>358</v>
      </c>
      <c r="G116" s="122">
        <v>0</v>
      </c>
    </row>
    <row r="117" spans="2:7" ht="13.7" customHeight="1">
      <c r="B117" s="5" t="s">
        <v>359</v>
      </c>
      <c r="C117" s="121" t="s">
        <v>360</v>
      </c>
      <c r="D117" s="122">
        <v>0</v>
      </c>
      <c r="E117" s="138" t="s">
        <v>361</v>
      </c>
      <c r="F117" s="121" t="s">
        <v>362</v>
      </c>
      <c r="G117" s="122">
        <f>821294+206463</f>
        <v>1027757</v>
      </c>
    </row>
    <row r="118" spans="2:7" ht="13.7" customHeight="1">
      <c r="B118" s="5" t="s">
        <v>363</v>
      </c>
      <c r="C118" s="121" t="s">
        <v>364</v>
      </c>
      <c r="D118" s="122">
        <v>0</v>
      </c>
      <c r="E118" s="138" t="s">
        <v>365</v>
      </c>
      <c r="F118" s="121" t="s">
        <v>366</v>
      </c>
      <c r="G118" s="122">
        <v>0</v>
      </c>
    </row>
    <row r="119" spans="2:7" ht="13.7" customHeight="1">
      <c r="B119" s="5" t="s">
        <v>367</v>
      </c>
      <c r="C119" s="121" t="s">
        <v>368</v>
      </c>
      <c r="D119" s="122">
        <v>762360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4228282</v>
      </c>
      <c r="E121" s="138" t="s">
        <v>377</v>
      </c>
      <c r="F121" s="121" t="s">
        <v>378</v>
      </c>
      <c r="G121" s="122">
        <v>7470149</v>
      </c>
    </row>
    <row r="122" spans="2:7" ht="13.7" customHeight="1" thickBot="1">
      <c r="B122" s="5"/>
      <c r="C122" s="85" t="s">
        <v>379</v>
      </c>
      <c r="D122" s="94">
        <f>SUM(D112:D121)</f>
        <v>124433310</v>
      </c>
      <c r="E122" s="138" t="s">
        <v>380</v>
      </c>
      <c r="F122" s="78" t="s">
        <v>381</v>
      </c>
      <c r="G122" s="79">
        <v>357308</v>
      </c>
    </row>
    <row r="123" spans="2:7" ht="13.7" customHeight="1" thickBot="1">
      <c r="B123" s="5" t="s">
        <v>382</v>
      </c>
      <c r="C123" s="123" t="s">
        <v>308</v>
      </c>
      <c r="D123" s="120">
        <v>0</v>
      </c>
      <c r="E123" s="225"/>
      <c r="F123" s="85" t="s">
        <v>383</v>
      </c>
      <c r="G123" s="94">
        <f>SUM(G112:G122)</f>
        <v>11942281</v>
      </c>
    </row>
    <row r="124" spans="2:7" ht="13.7" customHeight="1">
      <c r="B124" s="5" t="s">
        <v>384</v>
      </c>
      <c r="C124" s="121" t="s">
        <v>312</v>
      </c>
      <c r="D124" s="122">
        <v>0</v>
      </c>
      <c r="E124" s="138" t="s">
        <v>385</v>
      </c>
      <c r="F124" s="121" t="s">
        <v>386</v>
      </c>
      <c r="G124" s="122">
        <v>397755</v>
      </c>
    </row>
    <row r="125" spans="2:7" ht="13.7" customHeight="1">
      <c r="B125" s="5" t="s">
        <v>387</v>
      </c>
      <c r="C125" s="78" t="s">
        <v>388</v>
      </c>
      <c r="D125" s="122">
        <v>0</v>
      </c>
      <c r="E125" s="138" t="s">
        <v>389</v>
      </c>
      <c r="F125" s="121" t="s">
        <v>390</v>
      </c>
      <c r="G125" s="122">
        <v>40469</v>
      </c>
    </row>
    <row r="126" spans="2:7" ht="13.7" customHeight="1" thickBot="1">
      <c r="B126" s="5"/>
      <c r="C126" s="85" t="s">
        <v>391</v>
      </c>
      <c r="D126" s="94">
        <f>SUM(D123:D125)</f>
        <v>0</v>
      </c>
      <c r="E126" s="138" t="s">
        <v>392</v>
      </c>
      <c r="F126" s="121" t="s">
        <v>393</v>
      </c>
      <c r="G126" s="122">
        <v>0</v>
      </c>
    </row>
    <row r="127" spans="2:7" ht="13.7" customHeight="1">
      <c r="B127" s="5" t="s">
        <v>394</v>
      </c>
      <c r="C127" s="119" t="s">
        <v>273</v>
      </c>
      <c r="D127" s="120">
        <v>3864164</v>
      </c>
      <c r="E127" s="138" t="s">
        <v>395</v>
      </c>
      <c r="F127" s="121" t="s">
        <v>396</v>
      </c>
      <c r="G127" s="122">
        <v>146967</v>
      </c>
    </row>
    <row r="128" spans="2:7" ht="13.7" customHeight="1">
      <c r="B128" s="5" t="s">
        <v>397</v>
      </c>
      <c r="C128" s="121" t="s">
        <v>398</v>
      </c>
      <c r="D128" s="122">
        <v>2338373</v>
      </c>
      <c r="E128" s="138" t="s">
        <v>399</v>
      </c>
      <c r="F128" s="121" t="s">
        <v>400</v>
      </c>
      <c r="G128" s="122">
        <v>0</v>
      </c>
    </row>
    <row r="129" spans="2:7" ht="13.7" customHeight="1">
      <c r="B129" s="5" t="s">
        <v>401</v>
      </c>
      <c r="C129" s="121" t="s">
        <v>276</v>
      </c>
      <c r="D129" s="122">
        <v>4385</v>
      </c>
      <c r="E129" s="138" t="s">
        <v>402</v>
      </c>
      <c r="F129" s="121" t="s">
        <v>403</v>
      </c>
      <c r="G129" s="122">
        <v>285141</v>
      </c>
    </row>
    <row r="130" spans="2:7" ht="13.7" customHeight="1">
      <c r="B130" s="5" t="s">
        <v>404</v>
      </c>
      <c r="C130" s="121" t="s">
        <v>282</v>
      </c>
      <c r="D130" s="122">
        <v>948732</v>
      </c>
      <c r="E130" s="138" t="s">
        <v>405</v>
      </c>
      <c r="F130" s="121" t="s">
        <v>406</v>
      </c>
      <c r="G130" s="122">
        <v>0</v>
      </c>
    </row>
    <row r="131" spans="2:7" ht="13.7" customHeight="1">
      <c r="B131" s="5" t="s">
        <v>407</v>
      </c>
      <c r="C131" s="121" t="s">
        <v>286</v>
      </c>
      <c r="D131" s="122">
        <v>2027913</v>
      </c>
      <c r="E131" s="138" t="s">
        <v>408</v>
      </c>
      <c r="F131" s="121" t="s">
        <v>409</v>
      </c>
      <c r="G131" s="122">
        <v>206463</v>
      </c>
    </row>
    <row r="132" spans="2:7" ht="13.7" customHeight="1">
      <c r="B132" s="5" t="s">
        <v>410</v>
      </c>
      <c r="C132" s="121" t="s">
        <v>290</v>
      </c>
      <c r="D132" s="122">
        <v>7021493</v>
      </c>
      <c r="E132" s="138" t="s">
        <v>411</v>
      </c>
      <c r="F132" s="121" t="s">
        <v>412</v>
      </c>
      <c r="G132" s="122">
        <v>0</v>
      </c>
    </row>
    <row r="133" spans="2:7" ht="13.7" customHeight="1">
      <c r="B133" s="5" t="s">
        <v>413</v>
      </c>
      <c r="C133" s="121" t="s">
        <v>294</v>
      </c>
      <c r="D133" s="122">
        <v>0</v>
      </c>
      <c r="E133" s="138" t="s">
        <v>414</v>
      </c>
      <c r="F133" s="121" t="s">
        <v>415</v>
      </c>
      <c r="G133" s="122">
        <v>915486</v>
      </c>
    </row>
    <row r="134" spans="2:7" ht="13.7" customHeight="1">
      <c r="B134" s="5" t="s">
        <v>416</v>
      </c>
      <c r="C134" s="121" t="s">
        <v>417</v>
      </c>
      <c r="D134" s="122">
        <v>4107488</v>
      </c>
      <c r="E134" s="138" t="s">
        <v>418</v>
      </c>
      <c r="F134" s="121" t="s">
        <v>419</v>
      </c>
      <c r="G134" s="122">
        <v>221449</v>
      </c>
    </row>
    <row r="135" spans="2:7" ht="13.7" customHeight="1">
      <c r="B135" s="5" t="s">
        <v>420</v>
      </c>
      <c r="C135" s="121" t="s">
        <v>421</v>
      </c>
      <c r="D135" s="122">
        <v>18462632</v>
      </c>
      <c r="E135" s="138" t="s">
        <v>422</v>
      </c>
      <c r="F135" s="121" t="s">
        <v>423</v>
      </c>
      <c r="G135" s="122">
        <v>802751</v>
      </c>
    </row>
    <row r="136" spans="2:7" ht="13.7" customHeight="1">
      <c r="B136" s="5" t="s">
        <v>424</v>
      </c>
      <c r="C136" s="121" t="s">
        <v>317</v>
      </c>
      <c r="D136" s="122">
        <v>4957714</v>
      </c>
      <c r="E136" s="138" t="s">
        <v>425</v>
      </c>
      <c r="F136" s="121" t="s">
        <v>426</v>
      </c>
      <c r="G136" s="122">
        <v>0</v>
      </c>
    </row>
    <row r="137" spans="2:7" ht="13.7" customHeight="1">
      <c r="B137" s="5" t="s">
        <v>427</v>
      </c>
      <c r="C137" s="78" t="s">
        <v>319</v>
      </c>
      <c r="D137" s="124">
        <v>1426287</v>
      </c>
      <c r="E137" s="138" t="s">
        <v>428</v>
      </c>
      <c r="F137" s="121" t="s">
        <v>429</v>
      </c>
      <c r="G137" s="122">
        <v>13371684</v>
      </c>
    </row>
    <row r="138" spans="2:7" ht="13.7" customHeight="1" thickBot="1">
      <c r="B138" s="5"/>
      <c r="C138" s="85" t="s">
        <v>320</v>
      </c>
      <c r="D138" s="94">
        <f>SUM(D127:D137)</f>
        <v>45159181</v>
      </c>
      <c r="E138" s="138" t="s">
        <v>430</v>
      </c>
      <c r="F138" s="78" t="s">
        <v>431</v>
      </c>
      <c r="G138" s="79">
        <v>101911</v>
      </c>
    </row>
    <row r="139" spans="2:7" ht="13.7" customHeight="1" thickBot="1">
      <c r="B139" s="5" t="s">
        <v>432</v>
      </c>
      <c r="C139" s="119" t="s">
        <v>326</v>
      </c>
      <c r="D139" s="120">
        <v>0</v>
      </c>
      <c r="E139" s="228"/>
      <c r="F139" s="85" t="s">
        <v>433</v>
      </c>
      <c r="G139" s="94">
        <f>SUM(G124:G138)</f>
        <v>16490076</v>
      </c>
    </row>
    <row r="140" spans="2:7" ht="13.7" customHeight="1" thickBot="1">
      <c r="B140" s="5" t="s">
        <v>434</v>
      </c>
      <c r="C140" s="121" t="s">
        <v>328</v>
      </c>
      <c r="D140" s="122">
        <v>1397472</v>
      </c>
      <c r="E140" s="228"/>
      <c r="F140" s="110" t="s">
        <v>435</v>
      </c>
      <c r="G140" s="126">
        <f>G123-G139</f>
        <v>-4547795</v>
      </c>
    </row>
    <row r="141" spans="2:7" ht="13.7" customHeight="1">
      <c r="B141" s="5" t="s">
        <v>436</v>
      </c>
      <c r="C141" s="78" t="s">
        <v>330</v>
      </c>
      <c r="D141" s="124">
        <v>54882</v>
      </c>
      <c r="E141" s="229"/>
      <c r="F141" s="116"/>
      <c r="G141" s="116"/>
    </row>
    <row r="142" spans="2:7" ht="13.7" customHeight="1" thickBot="1">
      <c r="B142" s="5"/>
      <c r="C142" s="85" t="s">
        <v>331</v>
      </c>
      <c r="D142" s="94">
        <f>SUM(D139:D141)</f>
        <v>1452354</v>
      </c>
      <c r="E142" s="229"/>
      <c r="F142" s="116"/>
      <c r="G142" s="116"/>
    </row>
    <row r="143" spans="2:7" ht="13.5" customHeight="1" thickBot="1">
      <c r="B143" s="5"/>
      <c r="C143" s="110" t="s">
        <v>332</v>
      </c>
      <c r="D143" s="126">
        <f>[12]Amortizaciones!D33</f>
        <v>7253860</v>
      </c>
      <c r="E143" s="138"/>
      <c r="F143" s="72" t="s">
        <v>437</v>
      </c>
      <c r="G143" s="118">
        <f>+[12]E.S.P.!D6</f>
        <v>2021</v>
      </c>
    </row>
    <row r="144" spans="2:7" ht="13.7" customHeight="1">
      <c r="B144" s="5" t="s">
        <v>438</v>
      </c>
      <c r="C144" s="119" t="s">
        <v>439</v>
      </c>
      <c r="D144" s="120">
        <v>5878230</v>
      </c>
      <c r="E144" s="138" t="s">
        <v>440</v>
      </c>
      <c r="F144" s="119" t="s">
        <v>441</v>
      </c>
      <c r="G144" s="120">
        <v>2567508</v>
      </c>
    </row>
    <row r="145" spans="2:7" ht="13.7" customHeight="1">
      <c r="B145" s="5" t="s">
        <v>442</v>
      </c>
      <c r="C145" s="121" t="s">
        <v>443</v>
      </c>
      <c r="D145" s="122">
        <v>438961</v>
      </c>
      <c r="E145" s="138" t="s">
        <v>444</v>
      </c>
      <c r="F145" s="121" t="s">
        <v>445</v>
      </c>
      <c r="G145" s="122">
        <v>8431296</v>
      </c>
    </row>
    <row r="146" spans="2:7" ht="13.7" customHeight="1">
      <c r="B146" s="5" t="s">
        <v>446</v>
      </c>
      <c r="C146" s="128" t="s">
        <v>447</v>
      </c>
      <c r="D146" s="122">
        <v>0</v>
      </c>
      <c r="E146" s="138" t="s">
        <v>448</v>
      </c>
      <c r="F146" s="121" t="s">
        <v>449</v>
      </c>
      <c r="G146" s="122">
        <v>3286043</v>
      </c>
    </row>
    <row r="147" spans="2:7" ht="13.7" customHeight="1">
      <c r="B147" s="5" t="s">
        <v>450</v>
      </c>
      <c r="C147" s="78" t="s">
        <v>451</v>
      </c>
      <c r="D147" s="124">
        <v>207124</v>
      </c>
      <c r="E147" s="138" t="s">
        <v>452</v>
      </c>
      <c r="F147" s="121" t="s">
        <v>453</v>
      </c>
      <c r="G147" s="122">
        <v>0</v>
      </c>
    </row>
    <row r="148" spans="2:7" ht="13.7" customHeight="1" thickBot="1">
      <c r="B148" s="5"/>
      <c r="C148" s="85" t="s">
        <v>518</v>
      </c>
      <c r="D148" s="94">
        <f>SUM(D144:D147)</f>
        <v>6524315</v>
      </c>
      <c r="E148" s="138" t="s">
        <v>454</v>
      </c>
      <c r="F148" s="121" t="s">
        <v>455</v>
      </c>
      <c r="G148" s="122">
        <v>0</v>
      </c>
    </row>
    <row r="149" spans="2:7" ht="13.7" customHeight="1">
      <c r="B149" s="5" t="s">
        <v>456</v>
      </c>
      <c r="C149" s="119" t="s">
        <v>457</v>
      </c>
      <c r="D149" s="120">
        <v>657009</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50676558</v>
      </c>
    </row>
    <row r="152" spans="2:7" ht="13.7" customHeight="1" thickBot="1">
      <c r="B152" s="5"/>
      <c r="C152" s="85" t="s">
        <v>516</v>
      </c>
      <c r="D152" s="94">
        <f>SUM(D149:D151)</f>
        <v>657009</v>
      </c>
      <c r="E152" s="138" t="s">
        <v>469</v>
      </c>
      <c r="F152" s="121" t="s">
        <v>470</v>
      </c>
      <c r="G152" s="122">
        <v>0</v>
      </c>
    </row>
    <row r="153" spans="2:7" ht="15" customHeight="1" thickBot="1">
      <c r="B153" s="5"/>
      <c r="C153" s="110" t="s">
        <v>471</v>
      </c>
      <c r="D153" s="129">
        <f>D122+D126+D138+D142+D143+D148+D152</f>
        <v>185480029</v>
      </c>
      <c r="E153" s="138" t="s">
        <v>472</v>
      </c>
      <c r="F153" s="78" t="s">
        <v>473</v>
      </c>
      <c r="G153" s="79">
        <v>141473</v>
      </c>
    </row>
    <row r="154" spans="2:7" ht="13.7" customHeight="1" thickBot="1">
      <c r="B154" s="5"/>
      <c r="C154" s="116"/>
      <c r="D154" s="116"/>
      <c r="E154" s="138"/>
      <c r="F154" s="85" t="s">
        <v>474</v>
      </c>
      <c r="G154" s="94">
        <f>SUM(G144:G153)</f>
        <v>65102878</v>
      </c>
    </row>
    <row r="155" spans="2:7" ht="13.5" customHeight="1" thickBot="1">
      <c r="B155" s="5"/>
      <c r="C155" s="72" t="s">
        <v>475</v>
      </c>
      <c r="D155" s="103">
        <f>G109-D153</f>
        <v>-16927417</v>
      </c>
      <c r="E155" s="138" t="s">
        <v>476</v>
      </c>
      <c r="F155" s="119" t="s">
        <v>477</v>
      </c>
      <c r="G155" s="120">
        <v>6532130</v>
      </c>
    </row>
    <row r="156" spans="2:7" ht="13.7" customHeight="1">
      <c r="C156" s="116"/>
      <c r="D156" s="116"/>
      <c r="E156" s="138" t="s">
        <v>478</v>
      </c>
      <c r="F156" s="121" t="s">
        <v>479</v>
      </c>
      <c r="G156" s="122">
        <v>42810046</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86875</v>
      </c>
    </row>
    <row r="161" spans="3:7" ht="13.7" customHeight="1">
      <c r="C161" s="116"/>
      <c r="D161" s="116"/>
      <c r="E161" s="138" t="s">
        <v>488</v>
      </c>
      <c r="F161" s="121" t="s">
        <v>489</v>
      </c>
      <c r="G161" s="122">
        <v>15313059</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v>2243258</v>
      </c>
    </row>
    <row r="167" spans="3:7" ht="13.7" customHeight="1">
      <c r="C167" s="116"/>
      <c r="D167" s="116"/>
      <c r="E167" s="138" t="s">
        <v>500</v>
      </c>
      <c r="F167" s="78" t="s">
        <v>501</v>
      </c>
      <c r="G167" s="79">
        <v>839725</v>
      </c>
    </row>
    <row r="168" spans="3:7" ht="13.7" customHeight="1" thickBot="1">
      <c r="C168" s="116"/>
      <c r="D168" s="116"/>
      <c r="E168" s="138"/>
      <c r="F168" s="85" t="s">
        <v>502</v>
      </c>
      <c r="G168" s="94">
        <f>SUM(G155:G167)</f>
        <v>67825093</v>
      </c>
    </row>
    <row r="169" spans="3:7" ht="13.7" customHeight="1" thickBot="1">
      <c r="C169" s="116"/>
      <c r="D169" s="116"/>
      <c r="E169" s="138"/>
      <c r="F169" s="110" t="s">
        <v>503</v>
      </c>
      <c r="G169" s="126">
        <f>G154-G168</f>
        <v>-2722215</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-24197427</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198908717</v>
      </c>
    </row>
    <row r="178" spans="1:8" ht="13.7" customHeight="1" thickBot="1">
      <c r="C178" s="116"/>
      <c r="D178" s="116"/>
      <c r="E178" s="138"/>
      <c r="F178" s="72" t="s">
        <v>509</v>
      </c>
      <c r="G178" s="103">
        <f>SUM(G175:G177)</f>
        <v>198908717</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174711290</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414" priority="2" stopIfTrue="1" operator="greaterThan">
      <formula>50</formula>
    </cfRule>
    <cfRule type="cellIs" dxfId="413" priority="11" stopIfTrue="1" operator="equal">
      <formula>0</formula>
    </cfRule>
  </conditionalFormatting>
  <conditionalFormatting sqref="D7:D61">
    <cfRule type="cellIs" dxfId="412" priority="9" stopIfTrue="1" operator="between">
      <formula>-0.1</formula>
      <formula>-50</formula>
    </cfRule>
    <cfRule type="cellIs" dxfId="411" priority="10" stopIfTrue="1" operator="between">
      <formula>0.1</formula>
      <formula>50</formula>
    </cfRule>
  </conditionalFormatting>
  <conditionalFormatting sqref="G152:G181 G7:G150">
    <cfRule type="cellIs" dxfId="410" priority="7" stopIfTrue="1" operator="between">
      <formula>-0.1</formula>
      <formula>-50</formula>
    </cfRule>
    <cfRule type="cellIs" dxfId="409" priority="8" stopIfTrue="1" operator="between">
      <formula>0.1</formula>
      <formula>50</formula>
    </cfRule>
  </conditionalFormatting>
  <conditionalFormatting sqref="D111:D155">
    <cfRule type="cellIs" dxfId="408" priority="5" stopIfTrue="1" operator="between">
      <formula>-0.1</formula>
      <formula>-50</formula>
    </cfRule>
    <cfRule type="cellIs" dxfId="407" priority="6" stopIfTrue="1" operator="between">
      <formula>0.1</formula>
      <formula>50</formula>
    </cfRule>
  </conditionalFormatting>
  <conditionalFormatting sqref="G165">
    <cfRule type="expression" dxfId="406" priority="4" stopIfTrue="1">
      <formula>AND($G$165&gt;0,$G$151&gt;0)</formula>
    </cfRule>
  </conditionalFormatting>
  <conditionalFormatting sqref="G151">
    <cfRule type="expression" dxfId="40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 sqref="G100 G11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8" sqref="C178"/>
    </sheetView>
  </sheetViews>
  <sheetFormatPr baseColWidth="10" defaultColWidth="0" defaultRowHeight="15.75" zeroHeight="1"/>
  <cols>
    <col min="1" max="1" width="3" style="1" customWidth="1"/>
    <col min="2" max="2" width="14.28515625" style="6" hidden="1" customWidth="1"/>
    <col min="3" max="3" width="57.7109375" style="19" customWidth="1"/>
    <col min="4" max="4" width="21" style="19" customWidth="1"/>
    <col min="5" max="5" width="3.85546875" style="13" customWidth="1"/>
    <col min="6" max="6" width="57.28515625" style="19" customWidth="1"/>
    <col min="7" max="7" width="21" style="19" customWidth="1"/>
    <col min="8" max="8" width="3" style="4" customWidth="1"/>
    <col min="9" max="16384" width="0" style="4" hidden="1"/>
  </cols>
  <sheetData>
    <row r="1" spans="1:9">
      <c r="B1" s="2"/>
      <c r="C1" s="255" t="s">
        <v>0</v>
      </c>
      <c r="D1" s="258"/>
      <c r="E1" s="253" t="str">
        <f>[13]Presentacion!C3</f>
        <v>GREMEDA - IAMPP</v>
      </c>
      <c r="F1" s="253"/>
      <c r="G1" s="136"/>
      <c r="H1" s="3"/>
    </row>
    <row r="2" spans="1:9">
      <c r="B2" s="5"/>
      <c r="C2" s="255" t="s">
        <v>1</v>
      </c>
      <c r="D2" s="258"/>
      <c r="E2" s="253" t="str">
        <f>[13]Presentacion!C4</f>
        <v>Artigas</v>
      </c>
      <c r="F2" s="253"/>
      <c r="G2" s="136"/>
      <c r="H2" s="3"/>
    </row>
    <row r="3" spans="1:9">
      <c r="B3" s="5"/>
      <c r="C3" s="255" t="s">
        <v>2</v>
      </c>
      <c r="D3" s="255"/>
      <c r="E3" s="254" t="s">
        <v>3</v>
      </c>
      <c r="F3" s="254"/>
      <c r="G3" s="136"/>
      <c r="H3" s="3"/>
    </row>
    <row r="4" spans="1:9" ht="9.75" customHeight="1" thickBot="1">
      <c r="C4" s="65"/>
      <c r="D4" s="7"/>
      <c r="E4" s="8"/>
      <c r="F4" s="9"/>
      <c r="G4" s="10"/>
    </row>
    <row r="5" spans="1:9" ht="15.75" customHeight="1" thickBot="1">
      <c r="B5" s="11"/>
      <c r="C5" s="72" t="s">
        <v>4</v>
      </c>
      <c r="D5" s="73" t="s">
        <v>5</v>
      </c>
      <c r="E5" s="137"/>
      <c r="F5" s="72" t="s">
        <v>6</v>
      </c>
      <c r="G5" s="73" t="s">
        <v>5</v>
      </c>
      <c r="I5" s="12"/>
    </row>
    <row r="6" spans="1:9" ht="12.75" customHeight="1" thickBot="1">
      <c r="B6" s="11"/>
      <c r="C6" s="75" t="s">
        <v>7</v>
      </c>
      <c r="D6" s="76">
        <f>+[13]E.S.P.!D6</f>
        <v>2021</v>
      </c>
      <c r="E6" s="138"/>
      <c r="F6" s="75" t="s">
        <v>8</v>
      </c>
      <c r="G6" s="76">
        <f>+D6</f>
        <v>2021</v>
      </c>
      <c r="H6" s="12"/>
    </row>
    <row r="7" spans="1:9">
      <c r="B7" s="5" t="s">
        <v>9</v>
      </c>
      <c r="C7" s="78" t="s">
        <v>10</v>
      </c>
      <c r="D7" s="79">
        <v>17491455</v>
      </c>
      <c r="E7" s="138" t="s">
        <v>11</v>
      </c>
      <c r="F7" s="80" t="s">
        <v>12</v>
      </c>
      <c r="G7" s="81">
        <v>11627900</v>
      </c>
    </row>
    <row r="8" spans="1:9">
      <c r="B8" s="5" t="s">
        <v>13</v>
      </c>
      <c r="C8" s="78" t="s">
        <v>14</v>
      </c>
      <c r="D8" s="79">
        <v>90775466</v>
      </c>
      <c r="E8" s="138" t="s">
        <v>15</v>
      </c>
      <c r="F8" s="78" t="s">
        <v>16</v>
      </c>
      <c r="G8" s="82">
        <v>51746741</v>
      </c>
    </row>
    <row r="9" spans="1:9">
      <c r="B9" s="5" t="s">
        <v>17</v>
      </c>
      <c r="C9" s="78" t="s">
        <v>18</v>
      </c>
      <c r="D9" s="79">
        <v>733186887</v>
      </c>
      <c r="E9" s="138" t="s">
        <v>19</v>
      </c>
      <c r="F9" s="78" t="s">
        <v>20</v>
      </c>
      <c r="G9" s="79">
        <v>32156121</v>
      </c>
    </row>
    <row r="10" spans="1:9">
      <c r="B10" s="5" t="s">
        <v>21</v>
      </c>
      <c r="C10" s="78" t="s">
        <v>22</v>
      </c>
      <c r="D10" s="79">
        <v>72378848</v>
      </c>
      <c r="E10" s="138" t="s">
        <v>23</v>
      </c>
      <c r="F10" s="78" t="s">
        <v>24</v>
      </c>
      <c r="G10" s="79">
        <v>95000502</v>
      </c>
    </row>
    <row r="11" spans="1:9">
      <c r="B11" s="5" t="s">
        <v>25</v>
      </c>
      <c r="C11" s="78" t="s">
        <v>26</v>
      </c>
      <c r="D11" s="79">
        <v>15906512</v>
      </c>
      <c r="E11" s="138" t="s">
        <v>27</v>
      </c>
      <c r="F11" s="78" t="s">
        <v>28</v>
      </c>
      <c r="G11" s="79">
        <v>44316111</v>
      </c>
    </row>
    <row r="12" spans="1:9">
      <c r="B12" s="5" t="s">
        <v>29</v>
      </c>
      <c r="C12" s="78" t="s">
        <v>30</v>
      </c>
      <c r="D12" s="79">
        <v>15513846</v>
      </c>
      <c r="E12" s="138" t="s">
        <v>31</v>
      </c>
      <c r="F12" s="78" t="s">
        <v>32</v>
      </c>
      <c r="G12" s="79">
        <v>59482506</v>
      </c>
    </row>
    <row r="13" spans="1:9">
      <c r="B13" s="5" t="s">
        <v>33</v>
      </c>
      <c r="C13" s="78" t="s">
        <v>34</v>
      </c>
      <c r="D13" s="79">
        <v>1024204</v>
      </c>
      <c r="E13" s="138" t="s">
        <v>35</v>
      </c>
      <c r="F13" s="78" t="s">
        <v>36</v>
      </c>
      <c r="G13" s="79">
        <v>17062665</v>
      </c>
    </row>
    <row r="14" spans="1:9">
      <c r="A14" s="14"/>
      <c r="B14" s="5" t="s">
        <v>37</v>
      </c>
      <c r="C14" s="78" t="s">
        <v>38</v>
      </c>
      <c r="D14" s="79">
        <v>17133467</v>
      </c>
      <c r="E14" s="138" t="s">
        <v>39</v>
      </c>
      <c r="F14" s="78" t="s">
        <v>40</v>
      </c>
      <c r="G14" s="79">
        <v>144066578</v>
      </c>
    </row>
    <row r="15" spans="1:9">
      <c r="B15" s="5" t="s">
        <v>41</v>
      </c>
      <c r="C15" s="83" t="s">
        <v>42</v>
      </c>
      <c r="D15" s="79">
        <v>0</v>
      </c>
      <c r="E15" s="138" t="s">
        <v>43</v>
      </c>
      <c r="F15" s="78" t="s">
        <v>44</v>
      </c>
      <c r="G15" s="79">
        <v>60179973</v>
      </c>
    </row>
    <row r="16" spans="1:9">
      <c r="B16" s="5" t="s">
        <v>45</v>
      </c>
      <c r="C16" s="78" t="s">
        <v>46</v>
      </c>
      <c r="D16" s="79">
        <v>0</v>
      </c>
      <c r="E16" s="138" t="s">
        <v>47</v>
      </c>
      <c r="F16" s="78" t="s">
        <v>48</v>
      </c>
      <c r="G16" s="79">
        <v>20259155</v>
      </c>
    </row>
    <row r="17" spans="1:7">
      <c r="B17" s="5" t="s">
        <v>49</v>
      </c>
      <c r="C17" s="78" t="s">
        <v>50</v>
      </c>
      <c r="D17" s="79">
        <v>0</v>
      </c>
      <c r="E17" s="138" t="s">
        <v>51</v>
      </c>
      <c r="F17" s="78" t="s">
        <v>52</v>
      </c>
      <c r="G17" s="79">
        <v>7733522</v>
      </c>
    </row>
    <row r="18" spans="1:7">
      <c r="A18" s="14"/>
      <c r="B18" s="5" t="s">
        <v>53</v>
      </c>
      <c r="C18" s="78" t="s">
        <v>54</v>
      </c>
      <c r="D18" s="79">
        <v>2483049</v>
      </c>
      <c r="E18" s="138" t="s">
        <v>55</v>
      </c>
      <c r="F18" s="78" t="s">
        <v>56</v>
      </c>
      <c r="G18" s="84">
        <v>20243381</v>
      </c>
    </row>
    <row r="19" spans="1:7" ht="16.5" thickBot="1">
      <c r="A19" s="14"/>
      <c r="B19" s="5" t="s">
        <v>57</v>
      </c>
      <c r="C19" s="78" t="s">
        <v>58</v>
      </c>
      <c r="D19" s="79">
        <v>35967277</v>
      </c>
      <c r="E19" s="138"/>
      <c r="F19" s="85" t="s">
        <v>59</v>
      </c>
      <c r="G19" s="86">
        <f>SUM(G7:G18)</f>
        <v>563875155</v>
      </c>
    </row>
    <row r="20" spans="1:7" ht="16.5" thickBot="1">
      <c r="B20" s="5"/>
      <c r="C20" s="85" t="s">
        <v>60</v>
      </c>
      <c r="D20" s="86">
        <f>SUM(D7:D19)</f>
        <v>1001861011</v>
      </c>
      <c r="E20" s="138" t="s">
        <v>61</v>
      </c>
      <c r="F20" s="80" t="s">
        <v>62</v>
      </c>
      <c r="G20" s="81">
        <v>455189</v>
      </c>
    </row>
    <row r="21" spans="1:7">
      <c r="B21" s="5"/>
      <c r="C21" s="87" t="s">
        <v>63</v>
      </c>
      <c r="D21" s="88">
        <f>SUM(D22:D28)</f>
        <v>10533534</v>
      </c>
      <c r="E21" s="138" t="s">
        <v>64</v>
      </c>
      <c r="F21" s="78" t="s">
        <v>65</v>
      </c>
      <c r="G21" s="79">
        <v>15405979</v>
      </c>
    </row>
    <row r="22" spans="1:7">
      <c r="B22" s="5" t="s">
        <v>66</v>
      </c>
      <c r="C22" s="78" t="s">
        <v>67</v>
      </c>
      <c r="D22" s="79">
        <v>3542931</v>
      </c>
      <c r="E22" s="138" t="s">
        <v>68</v>
      </c>
      <c r="F22" s="78" t="s">
        <v>69</v>
      </c>
      <c r="G22" s="79">
        <v>3785984</v>
      </c>
    </row>
    <row r="23" spans="1:7">
      <c r="B23" s="5" t="s">
        <v>70</v>
      </c>
      <c r="C23" s="78" t="s">
        <v>71</v>
      </c>
      <c r="D23" s="79">
        <v>21036</v>
      </c>
      <c r="E23" s="138" t="s">
        <v>72</v>
      </c>
      <c r="F23" s="78" t="s">
        <v>73</v>
      </c>
      <c r="G23" s="79">
        <v>12645620</v>
      </c>
    </row>
    <row r="24" spans="1:7">
      <c r="B24" s="5" t="s">
        <v>74</v>
      </c>
      <c r="C24" s="78" t="s">
        <v>75</v>
      </c>
      <c r="D24" s="79">
        <v>4252362</v>
      </c>
      <c r="E24" s="138" t="s">
        <v>76</v>
      </c>
      <c r="F24" s="78" t="s">
        <v>77</v>
      </c>
      <c r="G24" s="79">
        <v>0</v>
      </c>
    </row>
    <row r="25" spans="1:7">
      <c r="B25" s="5" t="s">
        <v>78</v>
      </c>
      <c r="C25" s="78" t="s">
        <v>79</v>
      </c>
      <c r="D25" s="79">
        <v>286299</v>
      </c>
      <c r="E25" s="138" t="s">
        <v>80</v>
      </c>
      <c r="F25" s="78" t="s">
        <v>81</v>
      </c>
      <c r="G25" s="79">
        <v>2836529</v>
      </c>
    </row>
    <row r="26" spans="1:7">
      <c r="B26" s="5" t="s">
        <v>82</v>
      </c>
      <c r="C26" s="78" t="s">
        <v>83</v>
      </c>
      <c r="D26" s="79">
        <v>679433</v>
      </c>
      <c r="E26" s="138" t="s">
        <v>84</v>
      </c>
      <c r="F26" s="78" t="s">
        <v>85</v>
      </c>
      <c r="G26" s="84">
        <v>1308120</v>
      </c>
    </row>
    <row r="27" spans="1:7" ht="13.5" customHeight="1" thickBot="1">
      <c r="B27" s="5" t="s">
        <v>86</v>
      </c>
      <c r="C27" s="78" t="s">
        <v>87</v>
      </c>
      <c r="D27" s="79">
        <v>1373314</v>
      </c>
      <c r="E27" s="138"/>
      <c r="F27" s="85" t="s">
        <v>88</v>
      </c>
      <c r="G27" s="86">
        <f>SUM(G20:G26)</f>
        <v>36437421</v>
      </c>
    </row>
    <row r="28" spans="1:7">
      <c r="B28" s="5" t="s">
        <v>89</v>
      </c>
      <c r="C28" s="78" t="s">
        <v>90</v>
      </c>
      <c r="D28" s="79">
        <v>378159</v>
      </c>
      <c r="E28" s="138" t="s">
        <v>91</v>
      </c>
      <c r="F28" s="80" t="s">
        <v>92</v>
      </c>
      <c r="G28" s="81">
        <v>57316471</v>
      </c>
    </row>
    <row r="29" spans="1:7">
      <c r="B29" s="5"/>
      <c r="C29" s="89" t="s">
        <v>93</v>
      </c>
      <c r="D29" s="88">
        <f>SUM(D30:D34)</f>
        <v>59840679</v>
      </c>
      <c r="E29" s="138" t="s">
        <v>94</v>
      </c>
      <c r="F29" s="78" t="s">
        <v>95</v>
      </c>
      <c r="G29" s="79">
        <v>19292124</v>
      </c>
    </row>
    <row r="30" spans="1:7">
      <c r="B30" s="5" t="s">
        <v>96</v>
      </c>
      <c r="C30" s="78" t="s">
        <v>97</v>
      </c>
      <c r="D30" s="79">
        <v>55041469</v>
      </c>
      <c r="E30" s="138" t="s">
        <v>98</v>
      </c>
      <c r="F30" s="78" t="s">
        <v>99</v>
      </c>
      <c r="G30" s="79">
        <v>1498883</v>
      </c>
    </row>
    <row r="31" spans="1:7">
      <c r="B31" s="5" t="s">
        <v>100</v>
      </c>
      <c r="C31" s="78" t="s">
        <v>101</v>
      </c>
      <c r="D31" s="79">
        <v>654805</v>
      </c>
      <c r="E31" s="138" t="s">
        <v>102</v>
      </c>
      <c r="F31" s="78" t="s">
        <v>103</v>
      </c>
      <c r="G31" s="84">
        <v>2908512</v>
      </c>
    </row>
    <row r="32" spans="1:7" ht="16.5" thickBot="1">
      <c r="B32" s="5" t="s">
        <v>104</v>
      </c>
      <c r="C32" s="78" t="s">
        <v>105</v>
      </c>
      <c r="D32" s="79">
        <v>1996097</v>
      </c>
      <c r="E32" s="138"/>
      <c r="F32" s="85" t="s">
        <v>106</v>
      </c>
      <c r="G32" s="86">
        <f>SUM(G28:G31)</f>
        <v>81015990</v>
      </c>
    </row>
    <row r="33" spans="2:7">
      <c r="B33" s="5" t="s">
        <v>107</v>
      </c>
      <c r="C33" s="78" t="s">
        <v>108</v>
      </c>
      <c r="D33" s="79">
        <v>0</v>
      </c>
      <c r="E33" s="138"/>
      <c r="F33" s="89" t="s">
        <v>109</v>
      </c>
      <c r="G33" s="88">
        <f>SUM(G34:G39)</f>
        <v>55661323</v>
      </c>
    </row>
    <row r="34" spans="2:7">
      <c r="B34" s="5" t="s">
        <v>110</v>
      </c>
      <c r="C34" s="78" t="s">
        <v>111</v>
      </c>
      <c r="D34" s="79">
        <v>2148308</v>
      </c>
      <c r="E34" s="138" t="s">
        <v>112</v>
      </c>
      <c r="F34" s="78" t="s">
        <v>113</v>
      </c>
      <c r="G34" s="79">
        <v>6399304</v>
      </c>
    </row>
    <row r="35" spans="2:7" ht="16.5" thickBot="1">
      <c r="B35" s="5"/>
      <c r="C35" s="85" t="s">
        <v>114</v>
      </c>
      <c r="D35" s="86">
        <f>+D21+D29</f>
        <v>70374213</v>
      </c>
      <c r="E35" s="138" t="s">
        <v>115</v>
      </c>
      <c r="F35" s="78" t="s">
        <v>116</v>
      </c>
      <c r="G35" s="79">
        <v>1702902</v>
      </c>
    </row>
    <row r="36" spans="2:7">
      <c r="B36" s="5" t="s">
        <v>117</v>
      </c>
      <c r="C36" s="78" t="s">
        <v>118</v>
      </c>
      <c r="D36" s="79">
        <v>278220</v>
      </c>
      <c r="E36" s="138" t="s">
        <v>119</v>
      </c>
      <c r="F36" s="78" t="s">
        <v>517</v>
      </c>
      <c r="G36" s="79">
        <v>2021543</v>
      </c>
    </row>
    <row r="37" spans="2:7">
      <c r="B37" s="5" t="s">
        <v>120</v>
      </c>
      <c r="C37" s="78" t="s">
        <v>121</v>
      </c>
      <c r="D37" s="79">
        <v>45788828</v>
      </c>
      <c r="E37" s="138" t="s">
        <v>122</v>
      </c>
      <c r="F37" s="78" t="s">
        <v>123</v>
      </c>
      <c r="G37" s="79">
        <v>2943080</v>
      </c>
    </row>
    <row r="38" spans="2:7">
      <c r="B38" s="5" t="s">
        <v>124</v>
      </c>
      <c r="C38" s="78" t="s">
        <v>125</v>
      </c>
      <c r="D38" s="79">
        <v>0</v>
      </c>
      <c r="E38" s="138" t="s">
        <v>126</v>
      </c>
      <c r="F38" s="78" t="s">
        <v>127</v>
      </c>
      <c r="G38" s="79">
        <v>6029710</v>
      </c>
    </row>
    <row r="39" spans="2:7">
      <c r="B39" s="5" t="s">
        <v>128</v>
      </c>
      <c r="C39" s="78" t="s">
        <v>129</v>
      </c>
      <c r="D39" s="79">
        <v>0</v>
      </c>
      <c r="E39" s="138" t="s">
        <v>130</v>
      </c>
      <c r="F39" s="78" t="s">
        <v>131</v>
      </c>
      <c r="G39" s="79">
        <v>36564784</v>
      </c>
    </row>
    <row r="40" spans="2:7">
      <c r="B40" s="5" t="s">
        <v>132</v>
      </c>
      <c r="C40" s="78" t="s">
        <v>133</v>
      </c>
      <c r="D40" s="79">
        <v>26590270</v>
      </c>
      <c r="E40" s="138"/>
      <c r="F40" s="90" t="s">
        <v>134</v>
      </c>
      <c r="G40" s="91">
        <f>SUM(G41:G46)</f>
        <v>20067247</v>
      </c>
    </row>
    <row r="41" spans="2:7">
      <c r="B41" s="5" t="s">
        <v>135</v>
      </c>
      <c r="C41" s="78" t="s">
        <v>136</v>
      </c>
      <c r="D41" s="79">
        <v>52744647</v>
      </c>
      <c r="E41" s="138" t="s">
        <v>137</v>
      </c>
      <c r="F41" s="78" t="s">
        <v>138</v>
      </c>
      <c r="G41" s="79">
        <v>2150749</v>
      </c>
    </row>
    <row r="42" spans="2:7">
      <c r="B42" s="5" t="s">
        <v>139</v>
      </c>
      <c r="C42" s="78" t="s">
        <v>140</v>
      </c>
      <c r="D42" s="79">
        <v>6711047</v>
      </c>
      <c r="E42" s="138" t="s">
        <v>141</v>
      </c>
      <c r="F42" s="78" t="s">
        <v>142</v>
      </c>
      <c r="G42" s="79">
        <v>0</v>
      </c>
    </row>
    <row r="43" spans="2:7">
      <c r="B43" s="5" t="s">
        <v>143</v>
      </c>
      <c r="C43" s="78" t="s">
        <v>144</v>
      </c>
      <c r="D43" s="79">
        <v>0</v>
      </c>
      <c r="E43" s="138" t="s">
        <v>145</v>
      </c>
      <c r="F43" s="78" t="s">
        <v>146</v>
      </c>
      <c r="G43" s="79">
        <v>1386806</v>
      </c>
    </row>
    <row r="44" spans="2:7">
      <c r="B44" s="5" t="s">
        <v>147</v>
      </c>
      <c r="C44" s="78" t="s">
        <v>148</v>
      </c>
      <c r="D44" s="79">
        <v>0</v>
      </c>
      <c r="E44" s="138" t="s">
        <v>149</v>
      </c>
      <c r="F44" s="78" t="s">
        <v>150</v>
      </c>
      <c r="G44" s="79">
        <v>1246656</v>
      </c>
    </row>
    <row r="45" spans="2:7">
      <c r="B45" s="5" t="s">
        <v>151</v>
      </c>
      <c r="C45" s="78" t="s">
        <v>152</v>
      </c>
      <c r="D45" s="79">
        <v>18162982</v>
      </c>
      <c r="E45" s="138" t="s">
        <v>153</v>
      </c>
      <c r="F45" s="78" t="s">
        <v>154</v>
      </c>
      <c r="G45" s="79">
        <v>792817</v>
      </c>
    </row>
    <row r="46" spans="2:7">
      <c r="B46" s="5" t="s">
        <v>155</v>
      </c>
      <c r="C46" s="78" t="s">
        <v>156</v>
      </c>
      <c r="D46" s="79">
        <v>5595873</v>
      </c>
      <c r="E46" s="138" t="s">
        <v>157</v>
      </c>
      <c r="F46" s="78" t="s">
        <v>158</v>
      </c>
      <c r="G46" s="79">
        <v>14490219</v>
      </c>
    </row>
    <row r="47" spans="2:7" ht="16.5" thickBot="1">
      <c r="B47" s="5"/>
      <c r="C47" s="85" t="s">
        <v>159</v>
      </c>
      <c r="D47" s="86">
        <f>SUM(D36:D46)</f>
        <v>155871867</v>
      </c>
      <c r="E47" s="138" t="s">
        <v>160</v>
      </c>
      <c r="F47" s="78" t="s">
        <v>161</v>
      </c>
      <c r="G47" s="84">
        <v>2819928</v>
      </c>
    </row>
    <row r="48" spans="2:7" ht="16.5" thickBot="1">
      <c r="B48" s="5"/>
      <c r="C48" s="92" t="s">
        <v>162</v>
      </c>
      <c r="D48" s="93"/>
      <c r="E48" s="138"/>
      <c r="F48" s="85" t="s">
        <v>163</v>
      </c>
      <c r="G48" s="94">
        <f>+G33+G40+G47</f>
        <v>78548498</v>
      </c>
    </row>
    <row r="49" spans="2:7">
      <c r="B49" s="5" t="s">
        <v>164</v>
      </c>
      <c r="C49" s="95" t="s">
        <v>165</v>
      </c>
      <c r="D49" s="96">
        <v>15555</v>
      </c>
      <c r="E49" s="138" t="s">
        <v>166</v>
      </c>
      <c r="F49" s="80" t="s">
        <v>167</v>
      </c>
      <c r="G49" s="81">
        <v>32985352</v>
      </c>
    </row>
    <row r="50" spans="2:7">
      <c r="B50" s="5" t="s">
        <v>168</v>
      </c>
      <c r="C50" s="78" t="s">
        <v>162</v>
      </c>
      <c r="D50" s="79">
        <v>6740376</v>
      </c>
      <c r="E50" s="138" t="s">
        <v>169</v>
      </c>
      <c r="F50" s="78" t="s">
        <v>170</v>
      </c>
      <c r="G50" s="79">
        <v>59225399</v>
      </c>
    </row>
    <row r="51" spans="2:7">
      <c r="B51" s="5" t="s">
        <v>171</v>
      </c>
      <c r="C51" s="78" t="s">
        <v>172</v>
      </c>
      <c r="D51" s="84">
        <v>251573</v>
      </c>
      <c r="E51" s="138" t="s">
        <v>173</v>
      </c>
      <c r="F51" s="78" t="s">
        <v>174</v>
      </c>
      <c r="G51" s="79">
        <v>1710857</v>
      </c>
    </row>
    <row r="52" spans="2:7" ht="16.5" thickBot="1">
      <c r="B52" s="11"/>
      <c r="C52" s="85" t="s">
        <v>175</v>
      </c>
      <c r="D52" s="86">
        <f>SUM(D49:D51)</f>
        <v>7007504</v>
      </c>
      <c r="E52" s="138" t="s">
        <v>176</v>
      </c>
      <c r="F52" s="78" t="s">
        <v>177</v>
      </c>
      <c r="G52" s="79">
        <v>1863261</v>
      </c>
    </row>
    <row r="53" spans="2:7" ht="16.5" thickBot="1">
      <c r="B53" s="5"/>
      <c r="C53" s="75" t="s">
        <v>178</v>
      </c>
      <c r="D53" s="97">
        <f>D20+D35+D47+D52</f>
        <v>1235114595</v>
      </c>
      <c r="E53" s="138" t="s">
        <v>179</v>
      </c>
      <c r="F53" s="78" t="s">
        <v>180</v>
      </c>
      <c r="G53" s="79">
        <v>3945745</v>
      </c>
    </row>
    <row r="54" spans="2:7">
      <c r="C54" s="98"/>
      <c r="D54" s="99"/>
      <c r="E54" s="138" t="s">
        <v>181</v>
      </c>
      <c r="F54" s="78" t="s">
        <v>182</v>
      </c>
      <c r="G54" s="79">
        <v>1792953</v>
      </c>
    </row>
    <row r="55" spans="2:7">
      <c r="C55" s="100" t="s">
        <v>183</v>
      </c>
      <c r="D55" s="101"/>
      <c r="E55" s="138" t="s">
        <v>184</v>
      </c>
      <c r="F55" s="78" t="s">
        <v>185</v>
      </c>
      <c r="G55" s="79">
        <v>408417</v>
      </c>
    </row>
    <row r="56" spans="2:7">
      <c r="B56" s="5" t="s">
        <v>186</v>
      </c>
      <c r="C56" s="102" t="s">
        <v>187</v>
      </c>
      <c r="D56" s="79">
        <v>-21</v>
      </c>
      <c r="E56" s="138" t="s">
        <v>188</v>
      </c>
      <c r="F56" s="78" t="s">
        <v>189</v>
      </c>
      <c r="G56" s="84">
        <v>3795672</v>
      </c>
    </row>
    <row r="57" spans="2:7" ht="14.25" customHeight="1" thickBot="1">
      <c r="B57" s="5" t="s">
        <v>190</v>
      </c>
      <c r="C57" s="102" t="s">
        <v>191</v>
      </c>
      <c r="D57" s="79">
        <v>0</v>
      </c>
      <c r="E57" s="138"/>
      <c r="F57" s="85" t="s">
        <v>192</v>
      </c>
      <c r="G57" s="86">
        <f>SUM(G49:G56)</f>
        <v>105727656</v>
      </c>
    </row>
    <row r="58" spans="2:7">
      <c r="B58" s="5" t="s">
        <v>193</v>
      </c>
      <c r="C58" s="102" t="s">
        <v>194</v>
      </c>
      <c r="D58" s="79">
        <v>0</v>
      </c>
      <c r="E58" s="138" t="s">
        <v>195</v>
      </c>
      <c r="F58" s="80" t="s">
        <v>196</v>
      </c>
      <c r="G58" s="81">
        <v>6007784</v>
      </c>
    </row>
    <row r="59" spans="2:7">
      <c r="B59" s="5" t="s">
        <v>197</v>
      </c>
      <c r="C59" s="78" t="s">
        <v>198</v>
      </c>
      <c r="D59" s="84">
        <v>-1</v>
      </c>
      <c r="E59" s="138" t="s">
        <v>199</v>
      </c>
      <c r="F59" s="78" t="s">
        <v>200</v>
      </c>
      <c r="G59" s="79">
        <v>22288268</v>
      </c>
    </row>
    <row r="60" spans="2:7" ht="16.5" thickBot="1">
      <c r="B60" s="5"/>
      <c r="C60" s="85" t="s">
        <v>201</v>
      </c>
      <c r="D60" s="86">
        <f>SUM(D56:D59)</f>
        <v>-22</v>
      </c>
      <c r="E60" s="138" t="s">
        <v>202</v>
      </c>
      <c r="F60" s="78" t="s">
        <v>203</v>
      </c>
      <c r="G60" s="79">
        <v>4105041</v>
      </c>
    </row>
    <row r="61" spans="2:7" ht="16.5" thickBot="1">
      <c r="B61" s="15"/>
      <c r="C61" s="72" t="s">
        <v>204</v>
      </c>
      <c r="D61" s="103">
        <f>D53+D60</f>
        <v>1235114573</v>
      </c>
      <c r="E61" s="138" t="s">
        <v>205</v>
      </c>
      <c r="F61" s="78" t="s">
        <v>206</v>
      </c>
      <c r="G61" s="79">
        <v>14732</v>
      </c>
    </row>
    <row r="62" spans="2:7">
      <c r="B62" s="16"/>
      <c r="C62" s="116"/>
      <c r="D62" s="116"/>
      <c r="E62" s="138" t="s">
        <v>207</v>
      </c>
      <c r="F62" s="78" t="s">
        <v>208</v>
      </c>
      <c r="G62" s="79">
        <v>5041634</v>
      </c>
    </row>
    <row r="63" spans="2:7">
      <c r="B63" s="17"/>
      <c r="C63" s="222" t="s">
        <v>8</v>
      </c>
      <c r="D63" s="222"/>
      <c r="E63" s="138" t="s">
        <v>209</v>
      </c>
      <c r="F63" s="78" t="s">
        <v>210</v>
      </c>
      <c r="G63" s="79">
        <v>6958716</v>
      </c>
    </row>
    <row r="64" spans="2:7">
      <c r="B64" s="18" t="s">
        <v>211</v>
      </c>
      <c r="C64" s="223" t="s">
        <v>212</v>
      </c>
      <c r="D64" s="223">
        <f>[13]Amortizaciones!D6</f>
        <v>7354275</v>
      </c>
      <c r="E64" s="138" t="s">
        <v>213</v>
      </c>
      <c r="F64" s="78" t="s">
        <v>214</v>
      </c>
      <c r="G64" s="79">
        <v>7127456</v>
      </c>
    </row>
    <row r="65" spans="2:7">
      <c r="B65" s="18" t="s">
        <v>215</v>
      </c>
      <c r="C65" s="223" t="s">
        <v>216</v>
      </c>
      <c r="D65" s="223">
        <f>[13]Amortizaciones!D7</f>
        <v>0</v>
      </c>
      <c r="E65" s="138" t="s">
        <v>217</v>
      </c>
      <c r="F65" s="78" t="s">
        <v>218</v>
      </c>
      <c r="G65" s="79">
        <v>2587022</v>
      </c>
    </row>
    <row r="66" spans="2:7">
      <c r="B66" s="18" t="s">
        <v>219</v>
      </c>
      <c r="C66" s="223" t="s">
        <v>220</v>
      </c>
      <c r="D66" s="223">
        <f>[13]Amortizaciones!D8</f>
        <v>6335466</v>
      </c>
      <c r="E66" s="138" t="s">
        <v>221</v>
      </c>
      <c r="F66" s="78" t="s">
        <v>222</v>
      </c>
      <c r="G66" s="79">
        <v>5350592</v>
      </c>
    </row>
    <row r="67" spans="2:7">
      <c r="B67" s="18" t="s">
        <v>223</v>
      </c>
      <c r="C67" s="223" t="s">
        <v>224</v>
      </c>
      <c r="D67" s="223">
        <f>[13]Amortizaciones!D9</f>
        <v>897928</v>
      </c>
      <c r="E67" s="138" t="s">
        <v>225</v>
      </c>
      <c r="F67" s="78" t="s">
        <v>226</v>
      </c>
      <c r="G67" s="79">
        <v>9482026</v>
      </c>
    </row>
    <row r="68" spans="2:7">
      <c r="B68" s="18" t="s">
        <v>227</v>
      </c>
      <c r="C68" s="223" t="s">
        <v>228</v>
      </c>
      <c r="D68" s="223">
        <f>[13]Amortizaciones!D10</f>
        <v>340060</v>
      </c>
      <c r="E68" s="138" t="s">
        <v>229</v>
      </c>
      <c r="F68" s="78" t="s">
        <v>230</v>
      </c>
      <c r="G68" s="79">
        <v>164490</v>
      </c>
    </row>
    <row r="69" spans="2:7">
      <c r="B69" s="18" t="s">
        <v>231</v>
      </c>
      <c r="C69" s="223" t="s">
        <v>232</v>
      </c>
      <c r="D69" s="223">
        <f>[13]Amortizaciones!D11</f>
        <v>415447</v>
      </c>
      <c r="E69" s="138" t="s">
        <v>233</v>
      </c>
      <c r="F69" s="78" t="s">
        <v>234</v>
      </c>
      <c r="G69" s="79">
        <v>2821084</v>
      </c>
    </row>
    <row r="70" spans="2:7">
      <c r="B70" s="18" t="s">
        <v>235</v>
      </c>
      <c r="C70" s="223" t="s">
        <v>236</v>
      </c>
      <c r="D70" s="223">
        <f>[13]Amortizaciones!D12</f>
        <v>0</v>
      </c>
      <c r="E70" s="138" t="s">
        <v>237</v>
      </c>
      <c r="F70" s="78" t="s">
        <v>238</v>
      </c>
      <c r="G70" s="79">
        <v>114715</v>
      </c>
    </row>
    <row r="71" spans="2:7">
      <c r="B71" s="18" t="s">
        <v>239</v>
      </c>
      <c r="C71" s="223" t="s">
        <v>240</v>
      </c>
      <c r="D71" s="223">
        <f>[13]Amortizaciones!D13</f>
        <v>741667</v>
      </c>
      <c r="E71" s="138" t="s">
        <v>241</v>
      </c>
      <c r="F71" s="78" t="s">
        <v>242</v>
      </c>
      <c r="G71" s="79">
        <v>3786378</v>
      </c>
    </row>
    <row r="72" spans="2:7">
      <c r="B72" s="18" t="s">
        <v>243</v>
      </c>
      <c r="C72" s="223" t="s">
        <v>244</v>
      </c>
      <c r="D72" s="223">
        <f>[13]Amortizaciones!D14</f>
        <v>0</v>
      </c>
      <c r="E72" s="138" t="s">
        <v>245</v>
      </c>
      <c r="F72" s="78" t="s">
        <v>246</v>
      </c>
      <c r="G72" s="79">
        <v>358337</v>
      </c>
    </row>
    <row r="73" spans="2:7">
      <c r="B73" s="18" t="s">
        <v>247</v>
      </c>
      <c r="C73" s="223" t="s">
        <v>248</v>
      </c>
      <c r="D73" s="223">
        <f>[13]Amortizaciones!D15</f>
        <v>0</v>
      </c>
      <c r="E73" s="138" t="s">
        <v>249</v>
      </c>
      <c r="F73" s="78" t="s">
        <v>250</v>
      </c>
      <c r="G73" s="79">
        <v>0</v>
      </c>
    </row>
    <row r="74" spans="2:7">
      <c r="B74" s="18" t="s">
        <v>251</v>
      </c>
      <c r="C74" s="223" t="s">
        <v>252</v>
      </c>
      <c r="D74" s="223">
        <f>[13]Amortizaciones!D16</f>
        <v>0</v>
      </c>
      <c r="E74" s="138" t="s">
        <v>253</v>
      </c>
      <c r="F74" s="78" t="s">
        <v>254</v>
      </c>
      <c r="G74" s="79">
        <v>0</v>
      </c>
    </row>
    <row r="75" spans="2:7">
      <c r="B75" s="18" t="s">
        <v>255</v>
      </c>
      <c r="C75" s="223" t="s">
        <v>256</v>
      </c>
      <c r="D75" s="223">
        <f>[13]Amortizaciones!D17</f>
        <v>0</v>
      </c>
      <c r="E75" s="138" t="s">
        <v>257</v>
      </c>
      <c r="F75" s="78" t="s">
        <v>258</v>
      </c>
      <c r="G75" s="79">
        <v>2987061</v>
      </c>
    </row>
    <row r="76" spans="2:7">
      <c r="B76" s="18" t="s">
        <v>259</v>
      </c>
      <c r="C76" s="223" t="s">
        <v>260</v>
      </c>
      <c r="D76" s="223">
        <f>[13]Amortizaciones!D18</f>
        <v>0</v>
      </c>
      <c r="E76" s="138" t="s">
        <v>261</v>
      </c>
      <c r="F76" s="78" t="s">
        <v>262</v>
      </c>
      <c r="G76" s="79">
        <v>34521496</v>
      </c>
    </row>
    <row r="77" spans="2:7">
      <c r="B77" s="18" t="s">
        <v>263</v>
      </c>
      <c r="C77" s="223" t="s">
        <v>264</v>
      </c>
      <c r="D77" s="223">
        <f>SUM(D64:D76)</f>
        <v>16084843</v>
      </c>
      <c r="E77" s="138" t="s">
        <v>265</v>
      </c>
      <c r="F77" s="78" t="s">
        <v>266</v>
      </c>
      <c r="G77" s="79">
        <v>13871650</v>
      </c>
    </row>
    <row r="78" spans="2:7">
      <c r="B78" s="18"/>
      <c r="C78" s="223"/>
      <c r="D78" s="223"/>
      <c r="E78" s="138" t="s">
        <v>267</v>
      </c>
      <c r="F78" s="78" t="s">
        <v>268</v>
      </c>
      <c r="G78" s="84">
        <v>4751051</v>
      </c>
    </row>
    <row r="79" spans="2:7" ht="16.5" thickBot="1">
      <c r="B79" s="18"/>
      <c r="C79" s="222" t="s">
        <v>269</v>
      </c>
      <c r="D79" s="224"/>
      <c r="E79" s="138"/>
      <c r="F79" s="85" t="s">
        <v>270</v>
      </c>
      <c r="G79" s="86">
        <f>SUM(G58:G78)</f>
        <v>132339533</v>
      </c>
    </row>
    <row r="80" spans="2:7">
      <c r="B80" s="18" t="s">
        <v>271</v>
      </c>
      <c r="C80" s="223" t="s">
        <v>236</v>
      </c>
      <c r="D80" s="223">
        <f>[13]Amortizaciones!D22</f>
        <v>1755346</v>
      </c>
      <c r="E80" s="138" t="s">
        <v>272</v>
      </c>
      <c r="F80" s="80" t="s">
        <v>273</v>
      </c>
      <c r="G80" s="81">
        <v>6850225</v>
      </c>
    </row>
    <row r="81" spans="2:7">
      <c r="B81" s="18" t="s">
        <v>274</v>
      </c>
      <c r="C81" s="223" t="s">
        <v>240</v>
      </c>
      <c r="D81" s="223">
        <f>[13]Amortizaciones!D23</f>
        <v>0</v>
      </c>
      <c r="E81" s="138" t="s">
        <v>275</v>
      </c>
      <c r="F81" s="78" t="s">
        <v>276</v>
      </c>
      <c r="G81" s="79">
        <v>6014806</v>
      </c>
    </row>
    <row r="82" spans="2:7">
      <c r="B82" s="18" t="s">
        <v>277</v>
      </c>
      <c r="C82" s="223" t="s">
        <v>244</v>
      </c>
      <c r="D82" s="223">
        <f>[13]Amortizaciones!D24</f>
        <v>1667758</v>
      </c>
      <c r="E82" s="138" t="s">
        <v>278</v>
      </c>
      <c r="F82" s="78" t="s">
        <v>279</v>
      </c>
      <c r="G82" s="79">
        <v>1456353</v>
      </c>
    </row>
    <row r="83" spans="2:7">
      <c r="B83" s="18" t="s">
        <v>280</v>
      </c>
      <c r="C83" s="223" t="s">
        <v>248</v>
      </c>
      <c r="D83" s="223">
        <f>[13]Amortizaciones!D25</f>
        <v>0</v>
      </c>
      <c r="E83" s="138" t="s">
        <v>281</v>
      </c>
      <c r="F83" s="78" t="s">
        <v>282</v>
      </c>
      <c r="G83" s="79">
        <v>1714131</v>
      </c>
    </row>
    <row r="84" spans="2:7">
      <c r="B84" s="18" t="s">
        <v>283</v>
      </c>
      <c r="C84" s="223" t="s">
        <v>284</v>
      </c>
      <c r="D84" s="223">
        <v>0</v>
      </c>
      <c r="E84" s="138" t="s">
        <v>285</v>
      </c>
      <c r="F84" s="78" t="s">
        <v>286</v>
      </c>
      <c r="G84" s="79">
        <v>7682289</v>
      </c>
    </row>
    <row r="85" spans="2:7">
      <c r="B85" s="18" t="s">
        <v>287</v>
      </c>
      <c r="C85" s="223" t="s">
        <v>288</v>
      </c>
      <c r="D85" s="223">
        <f>[13]Amortizaciones!D27</f>
        <v>0</v>
      </c>
      <c r="E85" s="138" t="s">
        <v>289</v>
      </c>
      <c r="F85" s="78" t="s">
        <v>290</v>
      </c>
      <c r="G85" s="79">
        <v>393616</v>
      </c>
    </row>
    <row r="86" spans="2:7" ht="13.5" customHeight="1">
      <c r="B86" s="18" t="s">
        <v>291</v>
      </c>
      <c r="C86" s="223" t="s">
        <v>292</v>
      </c>
      <c r="D86" s="223">
        <f>[13]Amortizaciones!D28</f>
        <v>0</v>
      </c>
      <c r="E86" s="138" t="s">
        <v>293</v>
      </c>
      <c r="F86" s="78" t="s">
        <v>294</v>
      </c>
      <c r="G86" s="79">
        <v>328530</v>
      </c>
    </row>
    <row r="87" spans="2:7" ht="13.5" customHeight="1">
      <c r="B87" s="18" t="s">
        <v>295</v>
      </c>
      <c r="C87" s="223" t="s">
        <v>296</v>
      </c>
      <c r="D87" s="223">
        <f>[13]Amortizaciones!D29</f>
        <v>0</v>
      </c>
      <c r="E87" s="138" t="s">
        <v>297</v>
      </c>
      <c r="F87" s="78" t="s">
        <v>298</v>
      </c>
      <c r="G87" s="79">
        <v>2035831</v>
      </c>
    </row>
    <row r="88" spans="2:7" ht="13.5" customHeight="1">
      <c r="B88" s="18" t="s">
        <v>299</v>
      </c>
      <c r="C88" s="223" t="s">
        <v>300</v>
      </c>
      <c r="D88" s="223">
        <f>[13]Amortizaciones!D30</f>
        <v>774499</v>
      </c>
      <c r="E88" s="138" t="s">
        <v>301</v>
      </c>
      <c r="F88" s="78" t="s">
        <v>302</v>
      </c>
      <c r="G88" s="79">
        <v>3167143</v>
      </c>
    </row>
    <row r="89" spans="2:7">
      <c r="B89" s="18" t="s">
        <v>303</v>
      </c>
      <c r="C89" s="223" t="s">
        <v>212</v>
      </c>
      <c r="D89" s="223">
        <f>[13]Amortizaciones!D31</f>
        <v>0</v>
      </c>
      <c r="E89" s="138" t="s">
        <v>304</v>
      </c>
      <c r="F89" s="78" t="s">
        <v>305</v>
      </c>
      <c r="G89" s="79">
        <v>47699581</v>
      </c>
    </row>
    <row r="90" spans="2:7" ht="14.25" customHeight="1">
      <c r="B90" s="18" t="s">
        <v>306</v>
      </c>
      <c r="C90" s="223" t="s">
        <v>228</v>
      </c>
      <c r="D90" s="223">
        <f>[13]Amortizaciones!D32</f>
        <v>0</v>
      </c>
      <c r="E90" s="138" t="s">
        <v>307</v>
      </c>
      <c r="F90" s="78" t="s">
        <v>308</v>
      </c>
      <c r="G90" s="79">
        <v>390888</v>
      </c>
    </row>
    <row r="91" spans="2:7" ht="14.25" customHeight="1">
      <c r="B91" s="18" t="s">
        <v>309</v>
      </c>
      <c r="C91" s="223" t="s">
        <v>310</v>
      </c>
      <c r="D91" s="223">
        <f>SUM(D80:D90)</f>
        <v>4197603</v>
      </c>
      <c r="E91" s="225" t="s">
        <v>311</v>
      </c>
      <c r="F91" s="78" t="s">
        <v>312</v>
      </c>
      <c r="G91" s="79">
        <v>296189</v>
      </c>
    </row>
    <row r="92" spans="2:7" ht="14.25" customHeight="1">
      <c r="B92" s="18"/>
      <c r="C92" s="226" t="s">
        <v>313</v>
      </c>
      <c r="D92" s="223">
        <f>D77+D91</f>
        <v>20282446</v>
      </c>
      <c r="E92" s="225" t="s">
        <v>314</v>
      </c>
      <c r="F92" s="78" t="s">
        <v>315</v>
      </c>
      <c r="G92" s="79">
        <v>252150</v>
      </c>
    </row>
    <row r="93" spans="2:7">
      <c r="C93" s="116"/>
      <c r="D93" s="116"/>
      <c r="E93" s="225" t="s">
        <v>316</v>
      </c>
      <c r="F93" s="78" t="s">
        <v>317</v>
      </c>
      <c r="G93" s="79">
        <v>6167694</v>
      </c>
    </row>
    <row r="94" spans="2:7">
      <c r="C94" s="116"/>
      <c r="D94" s="116"/>
      <c r="E94" s="225" t="s">
        <v>318</v>
      </c>
      <c r="F94" s="78" t="s">
        <v>319</v>
      </c>
      <c r="G94" s="84">
        <v>3144669</v>
      </c>
    </row>
    <row r="95" spans="2:7" ht="13.5" customHeight="1" thickBot="1">
      <c r="C95" s="116"/>
      <c r="D95" s="116"/>
      <c r="E95" s="138"/>
      <c r="F95" s="85" t="s">
        <v>320</v>
      </c>
      <c r="G95" s="86">
        <f>SUM(G80:G94)</f>
        <v>87594095</v>
      </c>
    </row>
    <row r="96" spans="2:7">
      <c r="C96" s="116"/>
      <c r="D96" s="116"/>
      <c r="E96" s="225" t="s">
        <v>321</v>
      </c>
      <c r="F96" s="80" t="s">
        <v>322</v>
      </c>
      <c r="G96" s="81">
        <v>2102888</v>
      </c>
    </row>
    <row r="97" spans="2:7">
      <c r="C97" s="116"/>
      <c r="D97" s="116"/>
      <c r="E97" s="225" t="s">
        <v>323</v>
      </c>
      <c r="F97" s="78" t="s">
        <v>324</v>
      </c>
      <c r="G97" s="79">
        <v>3422664</v>
      </c>
    </row>
    <row r="98" spans="2:7">
      <c r="C98" s="116"/>
      <c r="D98" s="116"/>
      <c r="E98" s="225" t="s">
        <v>325</v>
      </c>
      <c r="F98" s="78" t="s">
        <v>326</v>
      </c>
      <c r="G98" s="79">
        <v>597865</v>
      </c>
    </row>
    <row r="99" spans="2:7">
      <c r="C99" s="116"/>
      <c r="D99" s="116"/>
      <c r="E99" s="225" t="s">
        <v>327</v>
      </c>
      <c r="F99" s="78" t="s">
        <v>328</v>
      </c>
      <c r="G99" s="79">
        <v>1768514</v>
      </c>
    </row>
    <row r="100" spans="2:7">
      <c r="C100" s="116"/>
      <c r="D100" s="116"/>
      <c r="E100" s="225" t="s">
        <v>329</v>
      </c>
      <c r="F100" s="78" t="s">
        <v>330</v>
      </c>
      <c r="G100" s="84">
        <v>293874</v>
      </c>
    </row>
    <row r="101" spans="2:7" ht="12.75" customHeight="1" thickBot="1">
      <c r="C101" s="116"/>
      <c r="D101" s="116"/>
      <c r="E101" s="138"/>
      <c r="F101" s="85" t="s">
        <v>331</v>
      </c>
      <c r="G101" s="86">
        <f>SUM(G96:G100)</f>
        <v>8185805</v>
      </c>
    </row>
    <row r="102" spans="2:7" ht="12.75" customHeight="1" thickBot="1">
      <c r="C102" s="116"/>
      <c r="D102" s="116"/>
      <c r="E102" s="225"/>
      <c r="F102" s="110" t="s">
        <v>332</v>
      </c>
      <c r="G102" s="111">
        <f>[13]Amortizaciones!D19</f>
        <v>16084843</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1109808996</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125305577</v>
      </c>
    </row>
    <row r="110" spans="2:7" ht="6.75" customHeight="1" thickBot="1">
      <c r="B110" s="5"/>
      <c r="C110" s="227"/>
      <c r="D110" s="227"/>
      <c r="E110" s="138"/>
      <c r="F110" s="116"/>
      <c r="G110" s="116"/>
    </row>
    <row r="111" spans="2:7" ht="15" customHeight="1" thickBot="1">
      <c r="C111" s="72" t="s">
        <v>269</v>
      </c>
      <c r="D111" s="118">
        <f>+[13]E.S.P.!D6</f>
        <v>2021</v>
      </c>
      <c r="E111" s="225"/>
      <c r="F111" s="72" t="s">
        <v>340</v>
      </c>
      <c r="G111" s="118">
        <f>+[13]E.S.P.!D6</f>
        <v>2021</v>
      </c>
    </row>
    <row r="112" spans="2:7" ht="13.7" customHeight="1">
      <c r="B112" s="5" t="s">
        <v>341</v>
      </c>
      <c r="C112" s="119" t="s">
        <v>342</v>
      </c>
      <c r="D112" s="120">
        <v>5603373</v>
      </c>
      <c r="E112" s="138" t="s">
        <v>343</v>
      </c>
      <c r="F112" s="119" t="s">
        <v>308</v>
      </c>
      <c r="G112" s="120">
        <v>0</v>
      </c>
    </row>
    <row r="113" spans="2:7" ht="13.7" customHeight="1">
      <c r="B113" s="5" t="s">
        <v>344</v>
      </c>
      <c r="C113" s="121" t="s">
        <v>345</v>
      </c>
      <c r="D113" s="122">
        <v>43877467</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215546</v>
      </c>
      <c r="E115" s="138" t="s">
        <v>353</v>
      </c>
      <c r="F115" s="121" t="s">
        <v>354</v>
      </c>
      <c r="G115" s="122">
        <v>0</v>
      </c>
    </row>
    <row r="116" spans="2:7" ht="13.7" customHeight="1">
      <c r="B116" s="5" t="s">
        <v>355</v>
      </c>
      <c r="C116" s="121" t="s">
        <v>356</v>
      </c>
      <c r="D116" s="122">
        <v>2145790</v>
      </c>
      <c r="E116" s="138" t="s">
        <v>357</v>
      </c>
      <c r="F116" s="121" t="s">
        <v>358</v>
      </c>
      <c r="G116" s="122">
        <v>2093943</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258755</v>
      </c>
      <c r="E119" s="138" t="s">
        <v>369</v>
      </c>
      <c r="F119" s="121" t="s">
        <v>370</v>
      </c>
      <c r="G119" s="122">
        <v>2486682</v>
      </c>
    </row>
    <row r="120" spans="2:7" ht="13.7" customHeight="1">
      <c r="B120" s="5" t="s">
        <v>371</v>
      </c>
      <c r="C120" s="121" t="s">
        <v>372</v>
      </c>
      <c r="D120" s="122">
        <v>0</v>
      </c>
      <c r="E120" s="138" t="s">
        <v>373</v>
      </c>
      <c r="F120" s="121" t="s">
        <v>374</v>
      </c>
      <c r="G120" s="122">
        <v>0</v>
      </c>
    </row>
    <row r="121" spans="2:7" ht="13.7" customHeight="1">
      <c r="B121" s="5" t="s">
        <v>375</v>
      </c>
      <c r="C121" s="78" t="s">
        <v>376</v>
      </c>
      <c r="D121" s="122">
        <v>1940098</v>
      </c>
      <c r="E121" s="138" t="s">
        <v>377</v>
      </c>
      <c r="F121" s="121" t="s">
        <v>378</v>
      </c>
      <c r="G121" s="122">
        <v>5574514</v>
      </c>
    </row>
    <row r="122" spans="2:7" ht="13.7" customHeight="1" thickBot="1">
      <c r="B122" s="5"/>
      <c r="C122" s="85" t="s">
        <v>379</v>
      </c>
      <c r="D122" s="94">
        <f>SUM(D112:D121)</f>
        <v>54041029</v>
      </c>
      <c r="E122" s="138" t="s">
        <v>380</v>
      </c>
      <c r="F122" s="78" t="s">
        <v>381</v>
      </c>
      <c r="G122" s="79">
        <v>433261</v>
      </c>
    </row>
    <row r="123" spans="2:7" ht="13.7" customHeight="1" thickBot="1">
      <c r="B123" s="5" t="s">
        <v>382</v>
      </c>
      <c r="C123" s="123" t="s">
        <v>308</v>
      </c>
      <c r="D123" s="120">
        <v>206558</v>
      </c>
      <c r="E123" s="225"/>
      <c r="F123" s="85" t="s">
        <v>383</v>
      </c>
      <c r="G123" s="94">
        <f>SUM(G112:G122)</f>
        <v>10588400</v>
      </c>
    </row>
    <row r="124" spans="2:7" ht="13.7" customHeight="1">
      <c r="B124" s="5" t="s">
        <v>384</v>
      </c>
      <c r="C124" s="121" t="s">
        <v>312</v>
      </c>
      <c r="D124" s="122">
        <v>153757</v>
      </c>
      <c r="E124" s="138" t="s">
        <v>385</v>
      </c>
      <c r="F124" s="121" t="s">
        <v>386</v>
      </c>
      <c r="G124" s="122">
        <v>0</v>
      </c>
    </row>
    <row r="125" spans="2:7" ht="13.7" customHeight="1">
      <c r="B125" s="5" t="s">
        <v>387</v>
      </c>
      <c r="C125" s="78" t="s">
        <v>388</v>
      </c>
      <c r="D125" s="122">
        <v>13417</v>
      </c>
      <c r="E125" s="138" t="s">
        <v>389</v>
      </c>
      <c r="F125" s="121" t="s">
        <v>390</v>
      </c>
      <c r="G125" s="122">
        <v>157213</v>
      </c>
    </row>
    <row r="126" spans="2:7" ht="13.7" customHeight="1" thickBot="1">
      <c r="B126" s="5"/>
      <c r="C126" s="85" t="s">
        <v>391</v>
      </c>
      <c r="D126" s="94">
        <f>SUM(D123:D125)</f>
        <v>373732</v>
      </c>
      <c r="E126" s="138" t="s">
        <v>392</v>
      </c>
      <c r="F126" s="121" t="s">
        <v>393</v>
      </c>
      <c r="G126" s="122">
        <v>0</v>
      </c>
    </row>
    <row r="127" spans="2:7" ht="13.7" customHeight="1">
      <c r="B127" s="5" t="s">
        <v>394</v>
      </c>
      <c r="C127" s="119" t="s">
        <v>273</v>
      </c>
      <c r="D127" s="120">
        <v>2006588</v>
      </c>
      <c r="E127" s="138" t="s">
        <v>395</v>
      </c>
      <c r="F127" s="121" t="s">
        <v>396</v>
      </c>
      <c r="G127" s="122">
        <v>0</v>
      </c>
    </row>
    <row r="128" spans="2:7" ht="13.7" customHeight="1">
      <c r="B128" s="5" t="s">
        <v>397</v>
      </c>
      <c r="C128" s="121" t="s">
        <v>398</v>
      </c>
      <c r="D128" s="122">
        <v>1584992</v>
      </c>
      <c r="E128" s="138" t="s">
        <v>399</v>
      </c>
      <c r="F128" s="121" t="s">
        <v>400</v>
      </c>
      <c r="G128" s="122">
        <v>976203</v>
      </c>
    </row>
    <row r="129" spans="2:7" ht="13.7" customHeight="1">
      <c r="B129" s="5" t="s">
        <v>401</v>
      </c>
      <c r="C129" s="121" t="s">
        <v>276</v>
      </c>
      <c r="D129" s="122">
        <v>0</v>
      </c>
      <c r="E129" s="138" t="s">
        <v>402</v>
      </c>
      <c r="F129" s="121" t="s">
        <v>403</v>
      </c>
      <c r="G129" s="122">
        <v>1039860</v>
      </c>
    </row>
    <row r="130" spans="2:7" ht="13.7" customHeight="1">
      <c r="B130" s="5" t="s">
        <v>404</v>
      </c>
      <c r="C130" s="121" t="s">
        <v>282</v>
      </c>
      <c r="D130" s="122">
        <v>106168</v>
      </c>
      <c r="E130" s="138" t="s">
        <v>405</v>
      </c>
      <c r="F130" s="121" t="s">
        <v>406</v>
      </c>
      <c r="G130" s="122">
        <v>0</v>
      </c>
    </row>
    <row r="131" spans="2:7" ht="13.7" customHeight="1">
      <c r="B131" s="5" t="s">
        <v>407</v>
      </c>
      <c r="C131" s="121" t="s">
        <v>286</v>
      </c>
      <c r="D131" s="122">
        <v>140749</v>
      </c>
      <c r="E131" s="138" t="s">
        <v>408</v>
      </c>
      <c r="F131" s="121" t="s">
        <v>409</v>
      </c>
      <c r="G131" s="122">
        <v>0</v>
      </c>
    </row>
    <row r="132" spans="2:7" ht="13.7" customHeight="1">
      <c r="B132" s="5" t="s">
        <v>410</v>
      </c>
      <c r="C132" s="121" t="s">
        <v>290</v>
      </c>
      <c r="D132" s="122">
        <v>4984884</v>
      </c>
      <c r="E132" s="138" t="s">
        <v>411</v>
      </c>
      <c r="F132" s="121" t="s">
        <v>412</v>
      </c>
      <c r="G132" s="122">
        <v>0</v>
      </c>
    </row>
    <row r="133" spans="2:7" ht="13.7" customHeight="1">
      <c r="B133" s="5" t="s">
        <v>413</v>
      </c>
      <c r="C133" s="121" t="s">
        <v>294</v>
      </c>
      <c r="D133" s="122">
        <v>796528</v>
      </c>
      <c r="E133" s="138" t="s">
        <v>414</v>
      </c>
      <c r="F133" s="121" t="s">
        <v>415</v>
      </c>
      <c r="G133" s="122">
        <v>492901</v>
      </c>
    </row>
    <row r="134" spans="2:7" ht="13.7" customHeight="1">
      <c r="B134" s="5" t="s">
        <v>416</v>
      </c>
      <c r="C134" s="121" t="s">
        <v>417</v>
      </c>
      <c r="D134" s="122">
        <v>941755</v>
      </c>
      <c r="E134" s="138" t="s">
        <v>418</v>
      </c>
      <c r="F134" s="121" t="s">
        <v>419</v>
      </c>
      <c r="G134" s="122">
        <v>1399101</v>
      </c>
    </row>
    <row r="135" spans="2:7" ht="13.7" customHeight="1">
      <c r="B135" s="5" t="s">
        <v>420</v>
      </c>
      <c r="C135" s="121" t="s">
        <v>421</v>
      </c>
      <c r="D135" s="122">
        <v>4273677</v>
      </c>
      <c r="E135" s="138" t="s">
        <v>422</v>
      </c>
      <c r="F135" s="121" t="s">
        <v>423</v>
      </c>
      <c r="G135" s="122">
        <v>0</v>
      </c>
    </row>
    <row r="136" spans="2:7" ht="13.7" customHeight="1">
      <c r="B136" s="5" t="s">
        <v>424</v>
      </c>
      <c r="C136" s="121" t="s">
        <v>317</v>
      </c>
      <c r="D136" s="122">
        <v>1694718</v>
      </c>
      <c r="E136" s="138" t="s">
        <v>425</v>
      </c>
      <c r="F136" s="121" t="s">
        <v>426</v>
      </c>
      <c r="G136" s="122">
        <v>22812</v>
      </c>
    </row>
    <row r="137" spans="2:7" ht="13.7" customHeight="1">
      <c r="B137" s="5" t="s">
        <v>427</v>
      </c>
      <c r="C137" s="78" t="s">
        <v>319</v>
      </c>
      <c r="D137" s="124">
        <v>615535</v>
      </c>
      <c r="E137" s="138" t="s">
        <v>428</v>
      </c>
      <c r="F137" s="121" t="s">
        <v>429</v>
      </c>
      <c r="G137" s="122">
        <v>9493328</v>
      </c>
    </row>
    <row r="138" spans="2:7" ht="13.7" customHeight="1" thickBot="1">
      <c r="B138" s="5"/>
      <c r="C138" s="85" t="s">
        <v>320</v>
      </c>
      <c r="D138" s="94">
        <f>SUM(D127:D137)</f>
        <v>17145594</v>
      </c>
      <c r="E138" s="138" t="s">
        <v>430</v>
      </c>
      <c r="F138" s="78" t="s">
        <v>431</v>
      </c>
      <c r="G138" s="79">
        <v>534646</v>
      </c>
    </row>
    <row r="139" spans="2:7" ht="13.7" customHeight="1" thickBot="1">
      <c r="B139" s="5" t="s">
        <v>432</v>
      </c>
      <c r="C139" s="119" t="s">
        <v>326</v>
      </c>
      <c r="D139" s="120">
        <v>59751</v>
      </c>
      <c r="E139" s="228"/>
      <c r="F139" s="85" t="s">
        <v>433</v>
      </c>
      <c r="G139" s="94">
        <f>SUM(G124:G138)</f>
        <v>14116064</v>
      </c>
    </row>
    <row r="140" spans="2:7" ht="13.7" customHeight="1" thickBot="1">
      <c r="B140" s="5" t="s">
        <v>434</v>
      </c>
      <c r="C140" s="121" t="s">
        <v>328</v>
      </c>
      <c r="D140" s="122">
        <v>192193</v>
      </c>
      <c r="E140" s="228"/>
      <c r="F140" s="110" t="s">
        <v>435</v>
      </c>
      <c r="G140" s="126">
        <f>G123-G139</f>
        <v>-3527664</v>
      </c>
    </row>
    <row r="141" spans="2:7" ht="13.7" customHeight="1">
      <c r="B141" s="5" t="s">
        <v>436</v>
      </c>
      <c r="C141" s="78" t="s">
        <v>330</v>
      </c>
      <c r="D141" s="124">
        <v>9382</v>
      </c>
      <c r="E141" s="229"/>
      <c r="F141" s="116"/>
      <c r="G141" s="116"/>
    </row>
    <row r="142" spans="2:7" ht="13.7" customHeight="1" thickBot="1">
      <c r="B142" s="5"/>
      <c r="C142" s="85" t="s">
        <v>331</v>
      </c>
      <c r="D142" s="94">
        <f>SUM(D139:D141)</f>
        <v>261326</v>
      </c>
      <c r="E142" s="229"/>
      <c r="F142" s="116"/>
      <c r="G142" s="116"/>
    </row>
    <row r="143" spans="2:7" ht="13.5" customHeight="1" thickBot="1">
      <c r="B143" s="5"/>
      <c r="C143" s="110" t="s">
        <v>332</v>
      </c>
      <c r="D143" s="126">
        <f>[13]Amortizaciones!D33</f>
        <v>4197603</v>
      </c>
      <c r="E143" s="138"/>
      <c r="F143" s="72" t="s">
        <v>437</v>
      </c>
      <c r="G143" s="118">
        <f>+[13]E.S.P.!D6</f>
        <v>2021</v>
      </c>
    </row>
    <row r="144" spans="2:7" ht="13.7" customHeight="1">
      <c r="B144" s="5" t="s">
        <v>438</v>
      </c>
      <c r="C144" s="119" t="s">
        <v>439</v>
      </c>
      <c r="D144" s="120">
        <v>736867</v>
      </c>
      <c r="E144" s="138" t="s">
        <v>440</v>
      </c>
      <c r="F144" s="119" t="s">
        <v>441</v>
      </c>
      <c r="G144" s="120">
        <v>977199</v>
      </c>
    </row>
    <row r="145" spans="2:7" ht="13.7" customHeight="1">
      <c r="B145" s="5" t="s">
        <v>442</v>
      </c>
      <c r="C145" s="121" t="s">
        <v>443</v>
      </c>
      <c r="D145" s="122">
        <v>316282</v>
      </c>
      <c r="E145" s="138" t="s">
        <v>444</v>
      </c>
      <c r="F145" s="121" t="s">
        <v>445</v>
      </c>
      <c r="G145" s="122">
        <v>1934614</v>
      </c>
    </row>
    <row r="146" spans="2:7" ht="13.7" customHeight="1">
      <c r="B146" s="5" t="s">
        <v>446</v>
      </c>
      <c r="C146" s="128" t="s">
        <v>447</v>
      </c>
      <c r="D146" s="122">
        <v>0</v>
      </c>
      <c r="E146" s="138" t="s">
        <v>448</v>
      </c>
      <c r="F146" s="121" t="s">
        <v>449</v>
      </c>
      <c r="G146" s="122">
        <v>4068360</v>
      </c>
    </row>
    <row r="147" spans="2:7" ht="13.7" customHeight="1">
      <c r="B147" s="5" t="s">
        <v>450</v>
      </c>
      <c r="C147" s="78" t="s">
        <v>451</v>
      </c>
      <c r="D147" s="124">
        <v>39216</v>
      </c>
      <c r="E147" s="138" t="s">
        <v>452</v>
      </c>
      <c r="F147" s="121" t="s">
        <v>453</v>
      </c>
      <c r="G147" s="122">
        <v>0</v>
      </c>
    </row>
    <row r="148" spans="2:7" ht="13.7" customHeight="1" thickBot="1">
      <c r="B148" s="5"/>
      <c r="C148" s="85" t="s">
        <v>518</v>
      </c>
      <c r="D148" s="94">
        <f>SUM(D144:D147)</f>
        <v>1092365</v>
      </c>
      <c r="E148" s="138" t="s">
        <v>454</v>
      </c>
      <c r="F148" s="121" t="s">
        <v>455</v>
      </c>
      <c r="G148" s="122">
        <v>0</v>
      </c>
    </row>
    <row r="149" spans="2:7" ht="13.7" customHeight="1">
      <c r="B149" s="5" t="s">
        <v>456</v>
      </c>
      <c r="C149" s="119" t="s">
        <v>457</v>
      </c>
      <c r="D149" s="120">
        <v>1751382</v>
      </c>
      <c r="E149" s="138" t="s">
        <v>458</v>
      </c>
      <c r="F149" s="121" t="s">
        <v>459</v>
      </c>
      <c r="G149" s="122">
        <v>0</v>
      </c>
    </row>
    <row r="150" spans="2:7" ht="13.7" customHeight="1">
      <c r="B150" s="5" t="s">
        <v>460</v>
      </c>
      <c r="C150" s="121" t="s">
        <v>461</v>
      </c>
      <c r="D150" s="122">
        <v>5445895</v>
      </c>
      <c r="E150" s="138" t="s">
        <v>462</v>
      </c>
      <c r="F150" s="121" t="s">
        <v>463</v>
      </c>
      <c r="G150" s="122">
        <v>141179</v>
      </c>
    </row>
    <row r="151" spans="2:7" ht="13.7" customHeight="1">
      <c r="B151" s="5" t="s">
        <v>464</v>
      </c>
      <c r="C151" s="78" t="s">
        <v>465</v>
      </c>
      <c r="D151" s="124">
        <v>268007</v>
      </c>
      <c r="E151" s="138" t="s">
        <v>466</v>
      </c>
      <c r="F151" s="121" t="s">
        <v>467</v>
      </c>
      <c r="G151" s="122">
        <v>17997752</v>
      </c>
    </row>
    <row r="152" spans="2:7" ht="13.7" customHeight="1" thickBot="1">
      <c r="B152" s="5"/>
      <c r="C152" s="85" t="s">
        <v>516</v>
      </c>
      <c r="D152" s="94">
        <f>SUM(D149:D151)</f>
        <v>7465284</v>
      </c>
      <c r="E152" s="138" t="s">
        <v>469</v>
      </c>
      <c r="F152" s="121" t="s">
        <v>470</v>
      </c>
      <c r="G152" s="122">
        <v>0</v>
      </c>
    </row>
    <row r="153" spans="2:7" ht="15" customHeight="1" thickBot="1">
      <c r="B153" s="5"/>
      <c r="C153" s="110" t="s">
        <v>471</v>
      </c>
      <c r="D153" s="129">
        <f>D122+D126+D138+D142+D143+D148+D152</f>
        <v>84576933</v>
      </c>
      <c r="E153" s="138" t="s">
        <v>472</v>
      </c>
      <c r="F153" s="78" t="s">
        <v>473</v>
      </c>
      <c r="G153" s="79">
        <v>265180</v>
      </c>
    </row>
    <row r="154" spans="2:7" ht="13.7" customHeight="1" thickBot="1">
      <c r="B154" s="5"/>
      <c r="C154" s="116"/>
      <c r="D154" s="116"/>
      <c r="E154" s="138"/>
      <c r="F154" s="85" t="s">
        <v>474</v>
      </c>
      <c r="G154" s="94">
        <f>SUM(G144:G153)</f>
        <v>25384284</v>
      </c>
    </row>
    <row r="155" spans="2:7" ht="13.5" customHeight="1" thickBot="1">
      <c r="B155" s="5"/>
      <c r="C155" s="72" t="s">
        <v>475</v>
      </c>
      <c r="D155" s="103">
        <f>G109-D153</f>
        <v>40728644</v>
      </c>
      <c r="E155" s="138" t="s">
        <v>476</v>
      </c>
      <c r="F155" s="119" t="s">
        <v>477</v>
      </c>
      <c r="G155" s="120">
        <v>8380563</v>
      </c>
    </row>
    <row r="156" spans="2:7" ht="13.7" customHeight="1">
      <c r="C156" s="116"/>
      <c r="D156" s="116"/>
      <c r="E156" s="138" t="s">
        <v>478</v>
      </c>
      <c r="F156" s="121" t="s">
        <v>479</v>
      </c>
      <c r="G156" s="122">
        <v>1985213</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59965</v>
      </c>
    </row>
    <row r="161" spans="3:7" ht="13.7" customHeight="1">
      <c r="C161" s="116"/>
      <c r="D161" s="116"/>
      <c r="E161" s="138" t="s">
        <v>488</v>
      </c>
      <c r="F161" s="121" t="s">
        <v>489</v>
      </c>
      <c r="G161" s="122">
        <v>3490762</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1070625</v>
      </c>
    </row>
    <row r="165" spans="3:7" ht="13.7" customHeight="1">
      <c r="C165" s="116"/>
      <c r="D165" s="116"/>
      <c r="E165" s="138" t="s">
        <v>496</v>
      </c>
      <c r="F165" s="121" t="s">
        <v>497</v>
      </c>
      <c r="G165" s="122">
        <v>0</v>
      </c>
    </row>
    <row r="166" spans="3:7" ht="13.7" customHeight="1">
      <c r="C166" s="116"/>
      <c r="D166" s="116"/>
      <c r="E166" s="138" t="s">
        <v>498</v>
      </c>
      <c r="F166" s="121" t="s">
        <v>499</v>
      </c>
      <c r="G166" s="122">
        <v>1132622</v>
      </c>
    </row>
    <row r="167" spans="3:7" ht="13.7" customHeight="1">
      <c r="C167" s="116"/>
      <c r="D167" s="116"/>
      <c r="E167" s="138" t="s">
        <v>500</v>
      </c>
      <c r="F167" s="78" t="s">
        <v>501</v>
      </c>
      <c r="G167" s="79">
        <v>6684196</v>
      </c>
    </row>
    <row r="168" spans="3:7" ht="13.7" customHeight="1" thickBot="1">
      <c r="C168" s="116"/>
      <c r="D168" s="116"/>
      <c r="E168" s="138"/>
      <c r="F168" s="85" t="s">
        <v>502</v>
      </c>
      <c r="G168" s="94">
        <f>SUM(G155:G167)</f>
        <v>22803946</v>
      </c>
    </row>
    <row r="169" spans="3:7" ht="13.7" customHeight="1" thickBot="1">
      <c r="C169" s="116"/>
      <c r="D169" s="116"/>
      <c r="E169" s="138"/>
      <c r="F169" s="110" t="s">
        <v>503</v>
      </c>
      <c r="G169" s="126">
        <f>G154-G168</f>
        <v>2580338</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39781318</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39781318</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404" priority="2" stopIfTrue="1" operator="greaterThan">
      <formula>50</formula>
    </cfRule>
    <cfRule type="cellIs" dxfId="403" priority="11" stopIfTrue="1" operator="equal">
      <formula>0</formula>
    </cfRule>
  </conditionalFormatting>
  <conditionalFormatting sqref="D7:D61">
    <cfRule type="cellIs" dxfId="402" priority="9" stopIfTrue="1" operator="between">
      <formula>-0.1</formula>
      <formula>-50</formula>
    </cfRule>
    <cfRule type="cellIs" dxfId="401" priority="10" stopIfTrue="1" operator="between">
      <formula>0.1</formula>
      <formula>50</formula>
    </cfRule>
  </conditionalFormatting>
  <conditionalFormatting sqref="G152:G181 G7:G150">
    <cfRule type="cellIs" dxfId="400" priority="7" stopIfTrue="1" operator="between">
      <formula>-0.1</formula>
      <formula>-50</formula>
    </cfRule>
    <cfRule type="cellIs" dxfId="399" priority="8" stopIfTrue="1" operator="between">
      <formula>0.1</formula>
      <formula>50</formula>
    </cfRule>
  </conditionalFormatting>
  <conditionalFormatting sqref="D111:D155">
    <cfRule type="cellIs" dxfId="398" priority="5" stopIfTrue="1" operator="between">
      <formula>-0.1</formula>
      <formula>-50</formula>
    </cfRule>
    <cfRule type="cellIs" dxfId="397" priority="6" stopIfTrue="1" operator="between">
      <formula>0.1</formula>
      <formula>50</formula>
    </cfRule>
  </conditionalFormatting>
  <conditionalFormatting sqref="G165">
    <cfRule type="expression" dxfId="396" priority="4" stopIfTrue="1">
      <formula>AND($G$165&gt;0,$G$151&gt;0)</formula>
    </cfRule>
  </conditionalFormatting>
  <conditionalFormatting sqref="G151">
    <cfRule type="expression" dxfId="39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D163" sqref="D163"/>
    </sheetView>
  </sheetViews>
  <sheetFormatPr baseColWidth="10" defaultColWidth="0" defaultRowHeight="15.75" zeroHeight="1"/>
  <cols>
    <col min="1" max="1" width="2.42578125" style="1" customWidth="1"/>
    <col min="2" max="2" width="14.28515625" style="6" hidden="1" customWidth="1"/>
    <col min="3" max="3" width="57.28515625" style="19" customWidth="1"/>
    <col min="4" max="4" width="21.28515625" style="19" customWidth="1"/>
    <col min="5" max="5" width="3.85546875" style="13" customWidth="1"/>
    <col min="6" max="6" width="57.28515625" style="19" customWidth="1"/>
    <col min="7" max="7" width="22.140625" style="19" customWidth="1"/>
    <col min="8" max="8" width="2.85546875" style="4" customWidth="1"/>
    <col min="9" max="16384" width="0" style="4" hidden="1"/>
  </cols>
  <sheetData>
    <row r="1" spans="1:9">
      <c r="B1" s="2"/>
      <c r="C1" s="255" t="s">
        <v>0</v>
      </c>
      <c r="D1" s="258"/>
      <c r="E1" s="253" t="str">
        <f>[14]Presentacion!C3</f>
        <v>CAAMEPA - IAMPP</v>
      </c>
      <c r="F1" s="253"/>
      <c r="G1" s="136"/>
      <c r="H1" s="3"/>
    </row>
    <row r="2" spans="1:9">
      <c r="B2" s="5"/>
      <c r="C2" s="255" t="s">
        <v>1</v>
      </c>
      <c r="D2" s="258"/>
      <c r="E2" s="253" t="str">
        <f>[14]Presentacion!C4</f>
        <v>Canelones</v>
      </c>
      <c r="F2" s="253"/>
      <c r="G2" s="136"/>
      <c r="H2" s="3"/>
    </row>
    <row r="3" spans="1:9">
      <c r="B3" s="5"/>
      <c r="C3" s="255" t="s">
        <v>2</v>
      </c>
      <c r="D3" s="262"/>
      <c r="E3" s="254" t="s">
        <v>3</v>
      </c>
      <c r="F3" s="254"/>
      <c r="G3" s="136"/>
      <c r="H3" s="3"/>
    </row>
    <row r="4" spans="1:9" ht="13.5" customHeight="1" thickBot="1">
      <c r="C4" s="68"/>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230">
        <f>+[14]E.S.P.!D6</f>
        <v>2021</v>
      </c>
      <c r="E6" s="138"/>
      <c r="F6" s="75" t="s">
        <v>8</v>
      </c>
      <c r="G6" s="230">
        <f>+D6</f>
        <v>2021</v>
      </c>
      <c r="H6" s="12"/>
    </row>
    <row r="7" spans="1:9">
      <c r="B7" s="5" t="s">
        <v>9</v>
      </c>
      <c r="C7" s="78" t="s">
        <v>10</v>
      </c>
      <c r="D7" s="79">
        <v>26783332</v>
      </c>
      <c r="E7" s="138" t="s">
        <v>11</v>
      </c>
      <c r="F7" s="80" t="s">
        <v>12</v>
      </c>
      <c r="G7" s="81">
        <v>11855308</v>
      </c>
    </row>
    <row r="8" spans="1:9">
      <c r="B8" s="5" t="s">
        <v>13</v>
      </c>
      <c r="C8" s="78" t="s">
        <v>14</v>
      </c>
      <c r="D8" s="79">
        <v>63478780</v>
      </c>
      <c r="E8" s="138" t="s">
        <v>15</v>
      </c>
      <c r="F8" s="78" t="s">
        <v>16</v>
      </c>
      <c r="G8" s="82">
        <v>0</v>
      </c>
    </row>
    <row r="9" spans="1:9">
      <c r="B9" s="5" t="s">
        <v>17</v>
      </c>
      <c r="C9" s="78" t="s">
        <v>18</v>
      </c>
      <c r="D9" s="79">
        <v>1101251333</v>
      </c>
      <c r="E9" s="138" t="s">
        <v>19</v>
      </c>
      <c r="F9" s="78" t="s">
        <v>20</v>
      </c>
      <c r="G9" s="79">
        <v>0</v>
      </c>
    </row>
    <row r="10" spans="1:9">
      <c r="B10" s="5" t="s">
        <v>21</v>
      </c>
      <c r="C10" s="78" t="s">
        <v>22</v>
      </c>
      <c r="D10" s="79">
        <v>111910887</v>
      </c>
      <c r="E10" s="138" t="s">
        <v>23</v>
      </c>
      <c r="F10" s="78" t="s">
        <v>24</v>
      </c>
      <c r="G10" s="79">
        <v>410339626</v>
      </c>
    </row>
    <row r="11" spans="1:9">
      <c r="B11" s="5" t="s">
        <v>25</v>
      </c>
      <c r="C11" s="78" t="s">
        <v>26</v>
      </c>
      <c r="D11" s="79">
        <v>6716238</v>
      </c>
      <c r="E11" s="138" t="s">
        <v>27</v>
      </c>
      <c r="F11" s="78" t="s">
        <v>28</v>
      </c>
      <c r="G11" s="79">
        <v>9041940</v>
      </c>
    </row>
    <row r="12" spans="1:9">
      <c r="B12" s="5" t="s">
        <v>29</v>
      </c>
      <c r="C12" s="78" t="s">
        <v>30</v>
      </c>
      <c r="D12" s="79">
        <v>15783445</v>
      </c>
      <c r="E12" s="138" t="s">
        <v>31</v>
      </c>
      <c r="F12" s="78" t="s">
        <v>32</v>
      </c>
      <c r="G12" s="79">
        <v>19231149</v>
      </c>
    </row>
    <row r="13" spans="1:9">
      <c r="B13" s="5" t="s">
        <v>33</v>
      </c>
      <c r="C13" s="78" t="s">
        <v>34</v>
      </c>
      <c r="D13" s="79">
        <v>8675831</v>
      </c>
      <c r="E13" s="138" t="s">
        <v>35</v>
      </c>
      <c r="F13" s="78" t="s">
        <v>36</v>
      </c>
      <c r="G13" s="79">
        <v>27699797</v>
      </c>
    </row>
    <row r="14" spans="1:9">
      <c r="A14" s="14"/>
      <c r="B14" s="5" t="s">
        <v>37</v>
      </c>
      <c r="C14" s="78" t="s">
        <v>38</v>
      </c>
      <c r="D14" s="79">
        <v>0</v>
      </c>
      <c r="E14" s="138" t="s">
        <v>39</v>
      </c>
      <c r="F14" s="78" t="s">
        <v>40</v>
      </c>
      <c r="G14" s="79">
        <v>242148105</v>
      </c>
    </row>
    <row r="15" spans="1:9">
      <c r="B15" s="5" t="s">
        <v>41</v>
      </c>
      <c r="C15" s="83" t="s">
        <v>42</v>
      </c>
      <c r="D15" s="79">
        <v>0</v>
      </c>
      <c r="E15" s="138" t="s">
        <v>43</v>
      </c>
      <c r="F15" s="78" t="s">
        <v>44</v>
      </c>
      <c r="G15" s="79">
        <v>126618318</v>
      </c>
    </row>
    <row r="16" spans="1:9">
      <c r="B16" s="5" t="s">
        <v>45</v>
      </c>
      <c r="C16" s="78" t="s">
        <v>46</v>
      </c>
      <c r="D16" s="79">
        <v>0</v>
      </c>
      <c r="E16" s="138" t="s">
        <v>47</v>
      </c>
      <c r="F16" s="231" t="s">
        <v>48</v>
      </c>
      <c r="G16" s="79">
        <v>69368092.599999994</v>
      </c>
    </row>
    <row r="17" spans="1:7">
      <c r="B17" s="5" t="s">
        <v>49</v>
      </c>
      <c r="C17" s="78" t="s">
        <v>50</v>
      </c>
      <c r="D17" s="79">
        <v>0</v>
      </c>
      <c r="E17" s="138" t="s">
        <v>51</v>
      </c>
      <c r="F17" s="78" t="s">
        <v>52</v>
      </c>
      <c r="G17" s="79">
        <v>0</v>
      </c>
    </row>
    <row r="18" spans="1:7">
      <c r="A18" s="14"/>
      <c r="B18" s="5" t="s">
        <v>53</v>
      </c>
      <c r="C18" s="78" t="s">
        <v>54</v>
      </c>
      <c r="D18" s="79">
        <v>0</v>
      </c>
      <c r="E18" s="138" t="s">
        <v>55</v>
      </c>
      <c r="F18" s="78" t="s">
        <v>56</v>
      </c>
      <c r="G18" s="84">
        <v>34549694.5</v>
      </c>
    </row>
    <row r="19" spans="1:7" ht="16.5" thickBot="1">
      <c r="A19" s="14"/>
      <c r="B19" s="5" t="s">
        <v>57</v>
      </c>
      <c r="C19" s="78" t="s">
        <v>58</v>
      </c>
      <c r="D19" s="79">
        <v>50604975.138194405</v>
      </c>
      <c r="E19" s="138"/>
      <c r="F19" s="85" t="s">
        <v>59</v>
      </c>
      <c r="G19" s="86">
        <f>SUM(G7:G18)</f>
        <v>950852030.10000002</v>
      </c>
    </row>
    <row r="20" spans="1:7" ht="16.5" thickBot="1">
      <c r="B20" s="5"/>
      <c r="C20" s="85" t="s">
        <v>60</v>
      </c>
      <c r="D20" s="86">
        <f>SUM(D7:D19)</f>
        <v>1385204821.1381943</v>
      </c>
      <c r="E20" s="138" t="s">
        <v>61</v>
      </c>
      <c r="F20" s="80" t="s">
        <v>62</v>
      </c>
      <c r="G20" s="81">
        <v>1078080</v>
      </c>
    </row>
    <row r="21" spans="1:7">
      <c r="B21" s="5"/>
      <c r="C21" s="87" t="s">
        <v>63</v>
      </c>
      <c r="D21" s="88">
        <f>SUM(D22:D28)</f>
        <v>5801805.8029373297</v>
      </c>
      <c r="E21" s="138" t="s">
        <v>64</v>
      </c>
      <c r="F21" s="78" t="s">
        <v>65</v>
      </c>
      <c r="G21" s="79">
        <v>22804534</v>
      </c>
    </row>
    <row r="22" spans="1:7">
      <c r="B22" s="5" t="s">
        <v>66</v>
      </c>
      <c r="C22" s="78" t="s">
        <v>67</v>
      </c>
      <c r="D22" s="79">
        <v>1184259</v>
      </c>
      <c r="E22" s="138" t="s">
        <v>68</v>
      </c>
      <c r="F22" s="78" t="s">
        <v>69</v>
      </c>
      <c r="G22" s="79">
        <v>3563469</v>
      </c>
    </row>
    <row r="23" spans="1:7">
      <c r="B23" s="5" t="s">
        <v>70</v>
      </c>
      <c r="C23" s="78" t="s">
        <v>71</v>
      </c>
      <c r="D23" s="79">
        <v>21055</v>
      </c>
      <c r="E23" s="138" t="s">
        <v>72</v>
      </c>
      <c r="F23" s="78" t="s">
        <v>73</v>
      </c>
      <c r="G23" s="79">
        <v>27369612</v>
      </c>
    </row>
    <row r="24" spans="1:7">
      <c r="B24" s="5" t="s">
        <v>74</v>
      </c>
      <c r="C24" s="78" t="s">
        <v>75</v>
      </c>
      <c r="D24" s="79">
        <v>4394714</v>
      </c>
      <c r="E24" s="138" t="s">
        <v>76</v>
      </c>
      <c r="F24" s="78" t="s">
        <v>77</v>
      </c>
      <c r="G24" s="79">
        <v>0</v>
      </c>
    </row>
    <row r="25" spans="1:7">
      <c r="B25" s="5" t="s">
        <v>78</v>
      </c>
      <c r="C25" s="78" t="s">
        <v>79</v>
      </c>
      <c r="D25" s="79">
        <v>0</v>
      </c>
      <c r="E25" s="138" t="s">
        <v>80</v>
      </c>
      <c r="F25" s="78" t="s">
        <v>81</v>
      </c>
      <c r="G25" s="79">
        <v>7739406</v>
      </c>
    </row>
    <row r="26" spans="1:7">
      <c r="B26" s="5" t="s">
        <v>82</v>
      </c>
      <c r="C26" s="78" t="s">
        <v>83</v>
      </c>
      <c r="D26" s="79">
        <v>4684</v>
      </c>
      <c r="E26" s="138" t="s">
        <v>84</v>
      </c>
      <c r="F26" s="78" t="s">
        <v>85</v>
      </c>
      <c r="G26" s="84">
        <v>2418498</v>
      </c>
    </row>
    <row r="27" spans="1:7" ht="13.5" customHeight="1" thickBot="1">
      <c r="B27" s="5" t="s">
        <v>86</v>
      </c>
      <c r="C27" s="78" t="s">
        <v>87</v>
      </c>
      <c r="D27" s="79">
        <v>0</v>
      </c>
      <c r="E27" s="138"/>
      <c r="F27" s="85" t="s">
        <v>88</v>
      </c>
      <c r="G27" s="86">
        <f>SUM(G20:G26)</f>
        <v>64973599</v>
      </c>
    </row>
    <row r="28" spans="1:7">
      <c r="B28" s="5" t="s">
        <v>89</v>
      </c>
      <c r="C28" s="78" t="s">
        <v>90</v>
      </c>
      <c r="D28" s="79">
        <v>197093.80293732975</v>
      </c>
      <c r="E28" s="138" t="s">
        <v>91</v>
      </c>
      <c r="F28" s="80" t="s">
        <v>92</v>
      </c>
      <c r="G28" s="81">
        <v>51047492.63000001</v>
      </c>
    </row>
    <row r="29" spans="1:7">
      <c r="B29" s="5"/>
      <c r="C29" s="89" t="s">
        <v>93</v>
      </c>
      <c r="D29" s="88">
        <f>SUM(D30:D34)</f>
        <v>142105088.33255929</v>
      </c>
      <c r="E29" s="138" t="s">
        <v>94</v>
      </c>
      <c r="F29" s="78" t="s">
        <v>95</v>
      </c>
      <c r="G29" s="79">
        <v>214727.51</v>
      </c>
    </row>
    <row r="30" spans="1:7">
      <c r="B30" s="5" t="s">
        <v>96</v>
      </c>
      <c r="C30" s="78" t="s">
        <v>97</v>
      </c>
      <c r="D30" s="79">
        <v>114061523</v>
      </c>
      <c r="E30" s="138" t="s">
        <v>98</v>
      </c>
      <c r="F30" s="78" t="s">
        <v>99</v>
      </c>
      <c r="G30" s="79">
        <v>1882233</v>
      </c>
    </row>
    <row r="31" spans="1:7">
      <c r="B31" s="5" t="s">
        <v>100</v>
      </c>
      <c r="C31" s="78" t="s">
        <v>101</v>
      </c>
      <c r="D31" s="79">
        <v>10418066</v>
      </c>
      <c r="E31" s="138" t="s">
        <v>102</v>
      </c>
      <c r="F31" s="78" t="s">
        <v>103</v>
      </c>
      <c r="G31" s="84">
        <v>2020375.6562962383</v>
      </c>
    </row>
    <row r="32" spans="1:7" ht="16.5" thickBot="1">
      <c r="B32" s="5" t="s">
        <v>104</v>
      </c>
      <c r="C32" s="78" t="s">
        <v>105</v>
      </c>
      <c r="D32" s="79">
        <v>9476367</v>
      </c>
      <c r="E32" s="138"/>
      <c r="F32" s="85" t="s">
        <v>106</v>
      </c>
      <c r="G32" s="86">
        <f>SUM(G28:G31)</f>
        <v>55164828.796296246</v>
      </c>
    </row>
    <row r="33" spans="2:7" s="4" customFormat="1">
      <c r="B33" s="5" t="s">
        <v>107</v>
      </c>
      <c r="C33" s="78" t="s">
        <v>108</v>
      </c>
      <c r="D33" s="79">
        <v>3100541</v>
      </c>
      <c r="E33" s="138"/>
      <c r="F33" s="89" t="s">
        <v>109</v>
      </c>
      <c r="G33" s="88">
        <f>SUM(G34:G39)</f>
        <v>83316744.289999992</v>
      </c>
    </row>
    <row r="34" spans="2:7" s="4" customFormat="1">
      <c r="B34" s="5" t="s">
        <v>110</v>
      </c>
      <c r="C34" s="78" t="s">
        <v>111</v>
      </c>
      <c r="D34" s="79">
        <v>5048591.3325592875</v>
      </c>
      <c r="E34" s="138" t="s">
        <v>112</v>
      </c>
      <c r="F34" s="78" t="s">
        <v>113</v>
      </c>
      <c r="G34" s="79">
        <v>17269802.989002962</v>
      </c>
    </row>
    <row r="35" spans="2:7" s="4" customFormat="1" ht="16.5" thickBot="1">
      <c r="B35" s="5"/>
      <c r="C35" s="85" t="s">
        <v>114</v>
      </c>
      <c r="D35" s="86">
        <f>+D21+D29</f>
        <v>147906894.13549662</v>
      </c>
      <c r="E35" s="138" t="s">
        <v>115</v>
      </c>
      <c r="F35" s="78" t="s">
        <v>116</v>
      </c>
      <c r="G35" s="79">
        <v>2588572.0567168151</v>
      </c>
    </row>
    <row r="36" spans="2:7" s="4" customFormat="1">
      <c r="B36" s="5" t="s">
        <v>117</v>
      </c>
      <c r="C36" s="78" t="s">
        <v>118</v>
      </c>
      <c r="D36" s="79">
        <v>6268713</v>
      </c>
      <c r="E36" s="138" t="s">
        <v>119</v>
      </c>
      <c r="F36" s="78" t="s">
        <v>517</v>
      </c>
      <c r="G36" s="79">
        <v>3412140.643036026</v>
      </c>
    </row>
    <row r="37" spans="2:7" s="4" customFormat="1">
      <c r="B37" s="5" t="s">
        <v>120</v>
      </c>
      <c r="C37" s="78" t="s">
        <v>121</v>
      </c>
      <c r="D37" s="79">
        <v>28065878</v>
      </c>
      <c r="E37" s="138" t="s">
        <v>122</v>
      </c>
      <c r="F37" s="78" t="s">
        <v>123</v>
      </c>
      <c r="G37" s="79">
        <v>17956309.454019818</v>
      </c>
    </row>
    <row r="38" spans="2:7" s="4" customFormat="1">
      <c r="B38" s="5" t="s">
        <v>124</v>
      </c>
      <c r="C38" s="78" t="s">
        <v>125</v>
      </c>
      <c r="D38" s="79">
        <v>0</v>
      </c>
      <c r="E38" s="138" t="s">
        <v>126</v>
      </c>
      <c r="F38" s="78" t="s">
        <v>127</v>
      </c>
      <c r="G38" s="79">
        <v>25737255.948517133</v>
      </c>
    </row>
    <row r="39" spans="2:7" s="4" customFormat="1">
      <c r="B39" s="5" t="s">
        <v>128</v>
      </c>
      <c r="C39" s="78" t="s">
        <v>129</v>
      </c>
      <c r="D39" s="79">
        <v>0</v>
      </c>
      <c r="E39" s="138" t="s">
        <v>130</v>
      </c>
      <c r="F39" s="78" t="s">
        <v>131</v>
      </c>
      <c r="G39" s="79">
        <v>16352663.198707238</v>
      </c>
    </row>
    <row r="40" spans="2:7" s="4" customFormat="1">
      <c r="B40" s="5" t="s">
        <v>132</v>
      </c>
      <c r="C40" s="78" t="s">
        <v>133</v>
      </c>
      <c r="D40" s="79">
        <v>0</v>
      </c>
      <c r="E40" s="138"/>
      <c r="F40" s="90" t="s">
        <v>134</v>
      </c>
      <c r="G40" s="91">
        <f>SUM(G41:G46)</f>
        <v>20932452.390000004</v>
      </c>
    </row>
    <row r="41" spans="2:7" s="4" customFormat="1">
      <c r="B41" s="5" t="s">
        <v>135</v>
      </c>
      <c r="C41" s="78" t="s">
        <v>136</v>
      </c>
      <c r="D41" s="79">
        <v>0</v>
      </c>
      <c r="E41" s="138" t="s">
        <v>137</v>
      </c>
      <c r="F41" s="78" t="s">
        <v>138</v>
      </c>
      <c r="G41" s="79">
        <v>444358.49902334448</v>
      </c>
    </row>
    <row r="42" spans="2:7" s="4" customFormat="1">
      <c r="B42" s="5" t="s">
        <v>139</v>
      </c>
      <c r="C42" s="78" t="s">
        <v>140</v>
      </c>
      <c r="D42" s="79">
        <v>0</v>
      </c>
      <c r="E42" s="138" t="s">
        <v>141</v>
      </c>
      <c r="F42" s="78" t="s">
        <v>142</v>
      </c>
      <c r="G42" s="79">
        <v>22943.735627504891</v>
      </c>
    </row>
    <row r="43" spans="2:7" s="4" customFormat="1">
      <c r="B43" s="5" t="s">
        <v>143</v>
      </c>
      <c r="C43" s="78" t="s">
        <v>144</v>
      </c>
      <c r="D43" s="79">
        <v>3975609</v>
      </c>
      <c r="E43" s="138" t="s">
        <v>145</v>
      </c>
      <c r="F43" s="78" t="s">
        <v>146</v>
      </c>
      <c r="G43" s="79">
        <v>11098181.625923764</v>
      </c>
    </row>
    <row r="44" spans="2:7" s="4" customFormat="1">
      <c r="B44" s="5" t="s">
        <v>147</v>
      </c>
      <c r="C44" s="78" t="s">
        <v>148</v>
      </c>
      <c r="D44" s="79">
        <v>0</v>
      </c>
      <c r="E44" s="138" t="s">
        <v>149</v>
      </c>
      <c r="F44" s="78" t="s">
        <v>150</v>
      </c>
      <c r="G44" s="79">
        <v>763439.75580931234</v>
      </c>
    </row>
    <row r="45" spans="2:7" s="4" customFormat="1">
      <c r="B45" s="5" t="s">
        <v>151</v>
      </c>
      <c r="C45" s="78" t="s">
        <v>152</v>
      </c>
      <c r="D45" s="79">
        <v>29296717</v>
      </c>
      <c r="E45" s="138" t="s">
        <v>153</v>
      </c>
      <c r="F45" s="78" t="s">
        <v>154</v>
      </c>
      <c r="G45" s="79">
        <v>5542511.6436154526</v>
      </c>
    </row>
    <row r="46" spans="2:7" s="4" customFormat="1">
      <c r="B46" s="5" t="s">
        <v>155</v>
      </c>
      <c r="C46" s="78" t="s">
        <v>156</v>
      </c>
      <c r="D46" s="79">
        <v>2446472.1081954837</v>
      </c>
      <c r="E46" s="138" t="s">
        <v>157</v>
      </c>
      <c r="F46" s="78" t="s">
        <v>158</v>
      </c>
      <c r="G46" s="79">
        <v>3061017.1300006262</v>
      </c>
    </row>
    <row r="47" spans="2:7" s="4" customFormat="1" ht="16.5" thickBot="1">
      <c r="B47" s="5"/>
      <c r="C47" s="85" t="s">
        <v>159</v>
      </c>
      <c r="D47" s="86">
        <f>SUM(D36:D46)</f>
        <v>70053389.108195484</v>
      </c>
      <c r="E47" s="138" t="s">
        <v>160</v>
      </c>
      <c r="F47" s="78" t="s">
        <v>161</v>
      </c>
      <c r="G47" s="79">
        <v>6023951.82051377</v>
      </c>
    </row>
    <row r="48" spans="2:7" s="4" customFormat="1" ht="16.5" thickBot="1">
      <c r="B48" s="5"/>
      <c r="C48" s="92" t="s">
        <v>162</v>
      </c>
      <c r="D48" s="93"/>
      <c r="E48" s="138"/>
      <c r="F48" s="85" t="s">
        <v>163</v>
      </c>
      <c r="G48" s="94">
        <f>+G33+G40+G47</f>
        <v>110273148.50051376</v>
      </c>
    </row>
    <row r="49" spans="2:7" s="4" customFormat="1">
      <c r="B49" s="5" t="s">
        <v>164</v>
      </c>
      <c r="C49" s="95" t="s">
        <v>165</v>
      </c>
      <c r="D49" s="96">
        <v>0</v>
      </c>
      <c r="E49" s="138" t="s">
        <v>166</v>
      </c>
      <c r="F49" s="80" t="s">
        <v>167</v>
      </c>
      <c r="G49" s="81">
        <v>0</v>
      </c>
    </row>
    <row r="50" spans="2:7" s="4" customFormat="1">
      <c r="B50" s="5" t="s">
        <v>168</v>
      </c>
      <c r="C50" s="78" t="s">
        <v>162</v>
      </c>
      <c r="D50" s="79">
        <v>13189973</v>
      </c>
      <c r="E50" s="138" t="s">
        <v>169</v>
      </c>
      <c r="F50" s="78" t="s">
        <v>170</v>
      </c>
      <c r="G50" s="79">
        <v>42499119.979999997</v>
      </c>
    </row>
    <row r="51" spans="2:7" s="4" customFormat="1">
      <c r="B51" s="5" t="s">
        <v>171</v>
      </c>
      <c r="C51" s="78" t="s">
        <v>172</v>
      </c>
      <c r="D51" s="84">
        <v>58368</v>
      </c>
      <c r="E51" s="138" t="s">
        <v>173</v>
      </c>
      <c r="F51" s="78" t="s">
        <v>174</v>
      </c>
      <c r="G51" s="79">
        <v>0</v>
      </c>
    </row>
    <row r="52" spans="2:7" s="4" customFormat="1" ht="16.5" thickBot="1">
      <c r="B52" s="11"/>
      <c r="C52" s="85" t="s">
        <v>175</v>
      </c>
      <c r="D52" s="86">
        <f>SUM(D49:D51)</f>
        <v>13248341</v>
      </c>
      <c r="E52" s="138" t="s">
        <v>176</v>
      </c>
      <c r="F52" s="78" t="s">
        <v>177</v>
      </c>
      <c r="G52" s="79">
        <v>0</v>
      </c>
    </row>
    <row r="53" spans="2:7" s="4" customFormat="1" ht="16.5" thickBot="1">
      <c r="B53" s="5"/>
      <c r="C53" s="75" t="s">
        <v>178</v>
      </c>
      <c r="D53" s="97">
        <f>D20+D35+D47+D52</f>
        <v>1616413445.3818865</v>
      </c>
      <c r="E53" s="138" t="s">
        <v>179</v>
      </c>
      <c r="F53" s="78" t="s">
        <v>180</v>
      </c>
      <c r="G53" s="79">
        <v>3840184.0699999994</v>
      </c>
    </row>
    <row r="54" spans="2:7" s="4" customFormat="1">
      <c r="B54" s="6"/>
      <c r="C54" s="98"/>
      <c r="D54" s="99"/>
      <c r="E54" s="138" t="s">
        <v>181</v>
      </c>
      <c r="F54" s="78" t="s">
        <v>182</v>
      </c>
      <c r="G54" s="79">
        <v>9795589</v>
      </c>
    </row>
    <row r="55" spans="2:7" s="4" customFormat="1">
      <c r="B55" s="6"/>
      <c r="C55" s="100" t="s">
        <v>183</v>
      </c>
      <c r="D55" s="101"/>
      <c r="E55" s="138" t="s">
        <v>184</v>
      </c>
      <c r="F55" s="78" t="s">
        <v>185</v>
      </c>
      <c r="G55" s="79">
        <v>1834712.11</v>
      </c>
    </row>
    <row r="56" spans="2:7" s="4" customFormat="1">
      <c r="B56" s="5" t="s">
        <v>186</v>
      </c>
      <c r="C56" s="102" t="s">
        <v>187</v>
      </c>
      <c r="D56" s="79">
        <v>-7289266.3100000005</v>
      </c>
      <c r="E56" s="138" t="s">
        <v>188</v>
      </c>
      <c r="F56" s="78" t="s">
        <v>189</v>
      </c>
      <c r="G56" s="84">
        <v>2488502</v>
      </c>
    </row>
    <row r="57" spans="2:7" s="4" customFormat="1" ht="14.25" customHeight="1" thickBot="1">
      <c r="B57" s="5" t="s">
        <v>190</v>
      </c>
      <c r="C57" s="102" t="s">
        <v>191</v>
      </c>
      <c r="D57" s="79"/>
      <c r="E57" s="138"/>
      <c r="F57" s="85" t="s">
        <v>192</v>
      </c>
      <c r="G57" s="86">
        <f>SUM(G49:G56)</f>
        <v>60458107.159999996</v>
      </c>
    </row>
    <row r="58" spans="2:7" s="4" customFormat="1">
      <c r="B58" s="5" t="s">
        <v>193</v>
      </c>
      <c r="C58" s="102" t="s">
        <v>194</v>
      </c>
      <c r="D58" s="79"/>
      <c r="E58" s="138" t="s">
        <v>195</v>
      </c>
      <c r="F58" s="80" t="s">
        <v>196</v>
      </c>
      <c r="G58" s="81">
        <v>0</v>
      </c>
    </row>
    <row r="59" spans="2:7" s="4" customFormat="1">
      <c r="B59" s="5" t="s">
        <v>197</v>
      </c>
      <c r="C59" s="78" t="s">
        <v>198</v>
      </c>
      <c r="D59" s="84">
        <v>-272763.28749834932</v>
      </c>
      <c r="E59" s="138" t="s">
        <v>199</v>
      </c>
      <c r="F59" s="78" t="s">
        <v>200</v>
      </c>
      <c r="G59" s="79">
        <v>10526633.699999999</v>
      </c>
    </row>
    <row r="60" spans="2:7" s="4" customFormat="1" ht="16.5" thickBot="1">
      <c r="B60" s="5"/>
      <c r="C60" s="85" t="s">
        <v>201</v>
      </c>
      <c r="D60" s="86">
        <f>SUM(D56:D59)</f>
        <v>-7562029.5974983498</v>
      </c>
      <c r="E60" s="138" t="s">
        <v>202</v>
      </c>
      <c r="F60" s="78" t="s">
        <v>203</v>
      </c>
      <c r="G60" s="79">
        <v>349133.21</v>
      </c>
    </row>
    <row r="61" spans="2:7" s="4" customFormat="1" ht="16.5" thickBot="1">
      <c r="B61" s="15"/>
      <c r="C61" s="72" t="s">
        <v>204</v>
      </c>
      <c r="D61" s="103">
        <f>D53+D60</f>
        <v>1608851415.7843881</v>
      </c>
      <c r="E61" s="138" t="s">
        <v>205</v>
      </c>
      <c r="F61" s="78" t="s">
        <v>206</v>
      </c>
      <c r="G61" s="79">
        <v>12478786.02</v>
      </c>
    </row>
    <row r="62" spans="2:7" s="4" customFormat="1">
      <c r="B62" s="16"/>
      <c r="C62" s="116"/>
      <c r="D62" s="116"/>
      <c r="E62" s="138" t="s">
        <v>207</v>
      </c>
      <c r="F62" s="78" t="s">
        <v>208</v>
      </c>
      <c r="G62" s="79">
        <v>0</v>
      </c>
    </row>
    <row r="63" spans="2:7" s="4" customFormat="1">
      <c r="B63" s="17"/>
      <c r="C63" s="222" t="s">
        <v>8</v>
      </c>
      <c r="D63" s="222"/>
      <c r="E63" s="138" t="s">
        <v>209</v>
      </c>
      <c r="F63" s="78" t="s">
        <v>210</v>
      </c>
      <c r="G63" s="79">
        <v>46267290.039999999</v>
      </c>
    </row>
    <row r="64" spans="2:7" s="4" customFormat="1">
      <c r="B64" s="18" t="s">
        <v>211</v>
      </c>
      <c r="C64" s="223" t="s">
        <v>212</v>
      </c>
      <c r="D64" s="223">
        <f>[14]Amortizaciones!D6</f>
        <v>5988464</v>
      </c>
      <c r="E64" s="138" t="s">
        <v>213</v>
      </c>
      <c r="F64" s="78" t="s">
        <v>214</v>
      </c>
      <c r="G64" s="79">
        <v>9382683.6500000004</v>
      </c>
    </row>
    <row r="65" spans="2:7" s="4" customFormat="1">
      <c r="B65" s="18" t="s">
        <v>215</v>
      </c>
      <c r="C65" s="223" t="s">
        <v>216</v>
      </c>
      <c r="D65" s="223">
        <f>[14]Amortizaciones!D7</f>
        <v>0</v>
      </c>
      <c r="E65" s="138" t="s">
        <v>217</v>
      </c>
      <c r="F65" s="78" t="s">
        <v>218</v>
      </c>
      <c r="G65" s="79">
        <v>25959987.620000001</v>
      </c>
    </row>
    <row r="66" spans="2:7" s="4" customFormat="1">
      <c r="B66" s="18" t="s">
        <v>219</v>
      </c>
      <c r="C66" s="223" t="s">
        <v>220</v>
      </c>
      <c r="D66" s="223">
        <f>[14]Amortizaciones!D8</f>
        <v>5192818</v>
      </c>
      <c r="E66" s="138" t="s">
        <v>221</v>
      </c>
      <c r="F66" s="78" t="s">
        <v>222</v>
      </c>
      <c r="G66" s="79">
        <v>8186083.1599999992</v>
      </c>
    </row>
    <row r="67" spans="2:7" s="4" customFormat="1">
      <c r="B67" s="18" t="s">
        <v>223</v>
      </c>
      <c r="C67" s="223" t="s">
        <v>224</v>
      </c>
      <c r="D67" s="223">
        <f>[14]Amortizaciones!D9</f>
        <v>0</v>
      </c>
      <c r="E67" s="138" t="s">
        <v>225</v>
      </c>
      <c r="F67" s="78" t="s">
        <v>226</v>
      </c>
      <c r="G67" s="79">
        <v>335184.68000000005</v>
      </c>
    </row>
    <row r="68" spans="2:7" s="4" customFormat="1">
      <c r="B68" s="18" t="s">
        <v>227</v>
      </c>
      <c r="C68" s="223" t="s">
        <v>228</v>
      </c>
      <c r="D68" s="223">
        <f>[14]Amortizaciones!D10</f>
        <v>0</v>
      </c>
      <c r="E68" s="138" t="s">
        <v>229</v>
      </c>
      <c r="F68" s="78" t="s">
        <v>230</v>
      </c>
      <c r="G68" s="79">
        <v>174877.05</v>
      </c>
    </row>
    <row r="69" spans="2:7" s="4" customFormat="1">
      <c r="B69" s="18" t="s">
        <v>231</v>
      </c>
      <c r="C69" s="223" t="s">
        <v>232</v>
      </c>
      <c r="D69" s="223">
        <f>[14]Amortizaciones!D11</f>
        <v>434814</v>
      </c>
      <c r="E69" s="138" t="s">
        <v>233</v>
      </c>
      <c r="F69" s="78" t="s">
        <v>234</v>
      </c>
      <c r="G69" s="79">
        <v>2620659.3000000003</v>
      </c>
    </row>
    <row r="70" spans="2:7" s="4" customFormat="1">
      <c r="B70" s="18" t="s">
        <v>235</v>
      </c>
      <c r="C70" s="223" t="s">
        <v>236</v>
      </c>
      <c r="D70" s="223">
        <f>[14]Amortizaciones!D12</f>
        <v>0</v>
      </c>
      <c r="E70" s="138" t="s">
        <v>237</v>
      </c>
      <c r="F70" s="78" t="s">
        <v>238</v>
      </c>
      <c r="G70" s="79">
        <v>899112.10000000009</v>
      </c>
    </row>
    <row r="71" spans="2:7" s="4" customFormat="1">
      <c r="B71" s="18" t="s">
        <v>239</v>
      </c>
      <c r="C71" s="223" t="s">
        <v>240</v>
      </c>
      <c r="D71" s="223">
        <f>[14]Amortizaciones!D13</f>
        <v>690841</v>
      </c>
      <c r="E71" s="138" t="s">
        <v>241</v>
      </c>
      <c r="F71" s="78" t="s">
        <v>242</v>
      </c>
      <c r="G71" s="79">
        <v>0</v>
      </c>
    </row>
    <row r="72" spans="2:7" s="4" customFormat="1">
      <c r="B72" s="18" t="s">
        <v>243</v>
      </c>
      <c r="C72" s="223" t="s">
        <v>244</v>
      </c>
      <c r="D72" s="223">
        <f>[14]Amortizaciones!D14</f>
        <v>0</v>
      </c>
      <c r="E72" s="138" t="s">
        <v>245</v>
      </c>
      <c r="F72" s="78" t="s">
        <v>246</v>
      </c>
      <c r="G72" s="79">
        <v>32066835.000000004</v>
      </c>
    </row>
    <row r="73" spans="2:7" s="4" customFormat="1">
      <c r="B73" s="18" t="s">
        <v>247</v>
      </c>
      <c r="C73" s="223" t="s">
        <v>248</v>
      </c>
      <c r="D73" s="223">
        <f>[14]Amortizaciones!D15</f>
        <v>0</v>
      </c>
      <c r="E73" s="138" t="s">
        <v>249</v>
      </c>
      <c r="F73" s="78" t="s">
        <v>250</v>
      </c>
      <c r="G73" s="79">
        <v>0</v>
      </c>
    </row>
    <row r="74" spans="2:7" s="4" customFormat="1">
      <c r="B74" s="18" t="s">
        <v>251</v>
      </c>
      <c r="C74" s="223" t="s">
        <v>252</v>
      </c>
      <c r="D74" s="223">
        <f>[14]Amortizaciones!D16</f>
        <v>0</v>
      </c>
      <c r="E74" s="138" t="s">
        <v>253</v>
      </c>
      <c r="F74" s="78" t="s">
        <v>254</v>
      </c>
      <c r="G74" s="79">
        <v>8498049.1899999995</v>
      </c>
    </row>
    <row r="75" spans="2:7" s="4" customFormat="1">
      <c r="B75" s="18" t="s">
        <v>255</v>
      </c>
      <c r="C75" s="223" t="s">
        <v>256</v>
      </c>
      <c r="D75" s="223">
        <f>[14]Amortizaciones!D17</f>
        <v>0</v>
      </c>
      <c r="E75" s="138" t="s">
        <v>257</v>
      </c>
      <c r="F75" s="78" t="s">
        <v>258</v>
      </c>
      <c r="G75" s="79">
        <v>0</v>
      </c>
    </row>
    <row r="76" spans="2:7" s="4" customFormat="1">
      <c r="B76" s="18" t="s">
        <v>259</v>
      </c>
      <c r="C76" s="223" t="s">
        <v>260</v>
      </c>
      <c r="D76" s="223">
        <f>[14]Amortizaciones!D18</f>
        <v>0</v>
      </c>
      <c r="E76" s="138" t="s">
        <v>261</v>
      </c>
      <c r="F76" s="78" t="s">
        <v>262</v>
      </c>
      <c r="G76" s="79">
        <v>0</v>
      </c>
    </row>
    <row r="77" spans="2:7" s="4" customFormat="1">
      <c r="B77" s="18" t="s">
        <v>263</v>
      </c>
      <c r="C77" s="223" t="s">
        <v>264</v>
      </c>
      <c r="D77" s="223">
        <f>SUM(D64:D76)</f>
        <v>12306937</v>
      </c>
      <c r="E77" s="138" t="s">
        <v>265</v>
      </c>
      <c r="F77" s="78" t="s">
        <v>266</v>
      </c>
      <c r="G77" s="79">
        <v>55428051.019999996</v>
      </c>
    </row>
    <row r="78" spans="2:7" s="4" customFormat="1">
      <c r="B78" s="18"/>
      <c r="C78" s="223"/>
      <c r="D78" s="223"/>
      <c r="E78" s="138" t="s">
        <v>267</v>
      </c>
      <c r="F78" s="78" t="s">
        <v>268</v>
      </c>
      <c r="G78" s="84">
        <v>7758125.9302110076</v>
      </c>
    </row>
    <row r="79" spans="2:7" s="4" customFormat="1" ht="16.5" thickBot="1">
      <c r="B79" s="18"/>
      <c r="C79" s="222" t="s">
        <v>269</v>
      </c>
      <c r="D79" s="224"/>
      <c r="E79" s="138"/>
      <c r="F79" s="85" t="s">
        <v>270</v>
      </c>
      <c r="G79" s="86">
        <f>SUM(G58:G78)</f>
        <v>220931491.67021102</v>
      </c>
    </row>
    <row r="80" spans="2:7" s="4" customFormat="1">
      <c r="B80" s="18" t="s">
        <v>271</v>
      </c>
      <c r="C80" s="223" t="s">
        <v>236</v>
      </c>
      <c r="D80" s="223">
        <f>[14]Amortizaciones!D22</f>
        <v>160966</v>
      </c>
      <c r="E80" s="138" t="s">
        <v>272</v>
      </c>
      <c r="F80" s="80" t="s">
        <v>273</v>
      </c>
      <c r="G80" s="81">
        <v>0</v>
      </c>
    </row>
    <row r="81" spans="2:7" s="4" customFormat="1">
      <c r="B81" s="18" t="s">
        <v>274</v>
      </c>
      <c r="C81" s="223" t="s">
        <v>240</v>
      </c>
      <c r="D81" s="223">
        <f>[14]Amortizaciones!D23</f>
        <v>0</v>
      </c>
      <c r="E81" s="138" t="s">
        <v>275</v>
      </c>
      <c r="F81" s="78" t="s">
        <v>276</v>
      </c>
      <c r="G81" s="79">
        <v>0</v>
      </c>
    </row>
    <row r="82" spans="2:7" s="4" customFormat="1">
      <c r="B82" s="18" t="s">
        <v>277</v>
      </c>
      <c r="C82" s="223" t="s">
        <v>244</v>
      </c>
      <c r="D82" s="223">
        <f>[14]Amortizaciones!D24</f>
        <v>2383361</v>
      </c>
      <c r="E82" s="138" t="s">
        <v>278</v>
      </c>
      <c r="F82" s="78" t="s">
        <v>279</v>
      </c>
      <c r="G82" s="79">
        <v>1532340.8099999998</v>
      </c>
    </row>
    <row r="83" spans="2:7" s="4" customFormat="1">
      <c r="B83" s="18" t="s">
        <v>280</v>
      </c>
      <c r="C83" s="223" t="s">
        <v>248</v>
      </c>
      <c r="D83" s="223">
        <f>[14]Amortizaciones!D25</f>
        <v>1234596</v>
      </c>
      <c r="E83" s="138" t="s">
        <v>281</v>
      </c>
      <c r="F83" s="78" t="s">
        <v>282</v>
      </c>
      <c r="G83" s="79">
        <v>664054.42999999982</v>
      </c>
    </row>
    <row r="84" spans="2:7" s="4" customFormat="1">
      <c r="B84" s="18" t="s">
        <v>283</v>
      </c>
      <c r="C84" s="223" t="s">
        <v>284</v>
      </c>
      <c r="D84" s="223">
        <v>0</v>
      </c>
      <c r="E84" s="138" t="s">
        <v>285</v>
      </c>
      <c r="F84" s="78" t="s">
        <v>286</v>
      </c>
      <c r="G84" s="79">
        <v>5570493.8399999999</v>
      </c>
    </row>
    <row r="85" spans="2:7" s="4" customFormat="1">
      <c r="B85" s="18" t="s">
        <v>287</v>
      </c>
      <c r="C85" s="223" t="s">
        <v>288</v>
      </c>
      <c r="D85" s="223">
        <f>[14]Amortizaciones!D27</f>
        <v>0</v>
      </c>
      <c r="E85" s="138" t="s">
        <v>289</v>
      </c>
      <c r="F85" s="78" t="s">
        <v>290</v>
      </c>
      <c r="G85" s="79">
        <v>2643594.6399999997</v>
      </c>
    </row>
    <row r="86" spans="2:7" s="4" customFormat="1" ht="13.5" customHeight="1">
      <c r="B86" s="18" t="s">
        <v>291</v>
      </c>
      <c r="C86" s="223" t="s">
        <v>292</v>
      </c>
      <c r="D86" s="223">
        <f>[14]Amortizaciones!D28</f>
        <v>0</v>
      </c>
      <c r="E86" s="138" t="s">
        <v>293</v>
      </c>
      <c r="F86" s="78" t="s">
        <v>294</v>
      </c>
      <c r="G86" s="79">
        <v>496068.98999999964</v>
      </c>
    </row>
    <row r="87" spans="2:7" s="4" customFormat="1" ht="13.5" customHeight="1">
      <c r="B87" s="18" t="s">
        <v>295</v>
      </c>
      <c r="C87" s="223" t="s">
        <v>296</v>
      </c>
      <c r="D87" s="223">
        <f>[14]Amortizaciones!D29</f>
        <v>0</v>
      </c>
      <c r="E87" s="138" t="s">
        <v>297</v>
      </c>
      <c r="F87" s="78" t="s">
        <v>298</v>
      </c>
      <c r="G87" s="79">
        <v>0</v>
      </c>
    </row>
    <row r="88" spans="2:7" s="4" customFormat="1" ht="13.5" customHeight="1">
      <c r="B88" s="18" t="s">
        <v>299</v>
      </c>
      <c r="C88" s="223" t="s">
        <v>300</v>
      </c>
      <c r="D88" s="223">
        <f>[14]Amortizaciones!D30</f>
        <v>4656206</v>
      </c>
      <c r="E88" s="138" t="s">
        <v>301</v>
      </c>
      <c r="F88" s="78" t="s">
        <v>302</v>
      </c>
      <c r="G88" s="79">
        <v>0</v>
      </c>
    </row>
    <row r="89" spans="2:7" s="4" customFormat="1">
      <c r="B89" s="18" t="s">
        <v>303</v>
      </c>
      <c r="C89" s="223" t="s">
        <v>212</v>
      </c>
      <c r="D89" s="223">
        <f>[14]Amortizaciones!D31</f>
        <v>0</v>
      </c>
      <c r="E89" s="138" t="s">
        <v>304</v>
      </c>
      <c r="F89" s="78" t="s">
        <v>305</v>
      </c>
      <c r="G89" s="79">
        <v>794211.66999999993</v>
      </c>
    </row>
    <row r="90" spans="2:7" s="4" customFormat="1" ht="14.25" customHeight="1">
      <c r="B90" s="18" t="s">
        <v>306</v>
      </c>
      <c r="C90" s="223" t="s">
        <v>228</v>
      </c>
      <c r="D90" s="223">
        <f>[14]Amortizaciones!D32</f>
        <v>486893</v>
      </c>
      <c r="E90" s="138" t="s">
        <v>307</v>
      </c>
      <c r="F90" s="78" t="s">
        <v>308</v>
      </c>
      <c r="G90" s="79">
        <v>4540891</v>
      </c>
    </row>
    <row r="91" spans="2:7" s="4" customFormat="1" ht="14.25" customHeight="1">
      <c r="B91" s="18" t="s">
        <v>309</v>
      </c>
      <c r="C91" s="223" t="s">
        <v>310</v>
      </c>
      <c r="D91" s="223">
        <f>SUM(D80:D90)</f>
        <v>8922022</v>
      </c>
      <c r="E91" s="225" t="s">
        <v>311</v>
      </c>
      <c r="F91" s="78" t="s">
        <v>312</v>
      </c>
      <c r="G91" s="79">
        <v>260577.34999999998</v>
      </c>
    </row>
    <row r="92" spans="2:7" s="4" customFormat="1" ht="14.25" customHeight="1">
      <c r="B92" s="18"/>
      <c r="C92" s="226" t="s">
        <v>313</v>
      </c>
      <c r="D92" s="223">
        <f>D77+D91</f>
        <v>21228959</v>
      </c>
      <c r="E92" s="225" t="s">
        <v>314</v>
      </c>
      <c r="F92" s="78" t="s">
        <v>315</v>
      </c>
      <c r="G92" s="79">
        <v>0</v>
      </c>
    </row>
    <row r="93" spans="2:7" s="4" customFormat="1">
      <c r="B93" s="6"/>
      <c r="C93" s="116"/>
      <c r="D93" s="116"/>
      <c r="E93" s="225" t="s">
        <v>316</v>
      </c>
      <c r="F93" s="78" t="s">
        <v>317</v>
      </c>
      <c r="G93" s="79">
        <v>18690886.469999999</v>
      </c>
    </row>
    <row r="94" spans="2:7" s="4" customFormat="1">
      <c r="B94" s="6"/>
      <c r="C94" s="116"/>
      <c r="D94" s="116"/>
      <c r="E94" s="225" t="s">
        <v>318</v>
      </c>
      <c r="F94" s="78" t="s">
        <v>319</v>
      </c>
      <c r="G94" s="84">
        <v>1326266.1613669619</v>
      </c>
    </row>
    <row r="95" spans="2:7" s="4" customFormat="1" ht="13.5" customHeight="1" thickBot="1">
      <c r="B95" s="6"/>
      <c r="C95" s="116"/>
      <c r="D95" s="116"/>
      <c r="E95" s="138"/>
      <c r="F95" s="85" t="s">
        <v>320</v>
      </c>
      <c r="G95" s="86">
        <f>SUM(G80:G94)</f>
        <v>36519385.361366957</v>
      </c>
    </row>
    <row r="96" spans="2:7" s="4" customFormat="1">
      <c r="B96" s="6"/>
      <c r="C96" s="116"/>
      <c r="D96" s="116"/>
      <c r="E96" s="225" t="s">
        <v>321</v>
      </c>
      <c r="F96" s="80" t="s">
        <v>322</v>
      </c>
      <c r="G96" s="81">
        <v>3817271.52</v>
      </c>
    </row>
    <row r="97" spans="2:7" s="4" customFormat="1">
      <c r="B97" s="6"/>
      <c r="C97" s="116"/>
      <c r="D97" s="116"/>
      <c r="E97" s="225" t="s">
        <v>323</v>
      </c>
      <c r="F97" s="78" t="s">
        <v>324</v>
      </c>
      <c r="G97" s="79">
        <v>3903011.7499999991</v>
      </c>
    </row>
    <row r="98" spans="2:7" s="4" customFormat="1">
      <c r="B98" s="6"/>
      <c r="C98" s="116"/>
      <c r="D98" s="116"/>
      <c r="E98" s="225" t="s">
        <v>325</v>
      </c>
      <c r="F98" s="78" t="s">
        <v>326</v>
      </c>
      <c r="G98" s="79">
        <v>441894.19000000006</v>
      </c>
    </row>
    <row r="99" spans="2:7" s="4" customFormat="1">
      <c r="B99" s="6"/>
      <c r="C99" s="116"/>
      <c r="D99" s="116"/>
      <c r="E99" s="225" t="s">
        <v>327</v>
      </c>
      <c r="F99" s="78" t="s">
        <v>328</v>
      </c>
      <c r="G99" s="79">
        <v>5549188</v>
      </c>
    </row>
    <row r="100" spans="2:7" s="4" customFormat="1">
      <c r="B100" s="6"/>
      <c r="C100" s="116"/>
      <c r="D100" s="116"/>
      <c r="E100" s="225" t="s">
        <v>329</v>
      </c>
      <c r="F100" s="78" t="s">
        <v>330</v>
      </c>
      <c r="G100" s="84">
        <v>493157.45</v>
      </c>
    </row>
    <row r="101" spans="2:7" s="4" customFormat="1" ht="12.75" customHeight="1" thickBot="1">
      <c r="B101" s="6"/>
      <c r="C101" s="116"/>
      <c r="D101" s="116"/>
      <c r="E101" s="138"/>
      <c r="F101" s="85" t="s">
        <v>331</v>
      </c>
      <c r="G101" s="86">
        <f>SUM(G96:G100)</f>
        <v>14204522.91</v>
      </c>
    </row>
    <row r="102" spans="2:7" s="4" customFormat="1" ht="12.75" customHeight="1" thickBot="1">
      <c r="B102" s="6"/>
      <c r="C102" s="116"/>
      <c r="D102" s="116"/>
      <c r="E102" s="225"/>
      <c r="F102" s="110" t="s">
        <v>332</v>
      </c>
      <c r="G102" s="111">
        <f>[14]Amortizaciones!D19</f>
        <v>12306937</v>
      </c>
    </row>
    <row r="103" spans="2:7" s="4" customFormat="1">
      <c r="B103" s="6"/>
      <c r="C103" s="116"/>
      <c r="D103" s="116"/>
      <c r="E103" s="225" t="s">
        <v>333</v>
      </c>
      <c r="F103" s="78" t="s">
        <v>334</v>
      </c>
      <c r="G103" s="81">
        <v>0</v>
      </c>
    </row>
    <row r="104" spans="2:7" s="4" customFormat="1">
      <c r="B104" s="6"/>
      <c r="C104" s="116"/>
      <c r="D104" s="116"/>
      <c r="E104" s="225" t="s">
        <v>335</v>
      </c>
      <c r="F104" s="112" t="s">
        <v>336</v>
      </c>
      <c r="G104" s="79">
        <v>0</v>
      </c>
    </row>
    <row r="105" spans="2:7" s="4" customFormat="1" ht="14.25" customHeight="1" thickBot="1">
      <c r="B105" s="6"/>
      <c r="C105" s="116"/>
      <c r="D105" s="116"/>
      <c r="E105" s="138"/>
      <c r="F105" s="85" t="s">
        <v>337</v>
      </c>
      <c r="G105" s="86">
        <f>SUM(G103:G104)</f>
        <v>0</v>
      </c>
    </row>
    <row r="106" spans="2:7" s="4" customFormat="1" ht="14.25" customHeight="1" thickBot="1">
      <c r="B106" s="5"/>
      <c r="C106" s="227"/>
      <c r="D106" s="227"/>
      <c r="E106" s="225"/>
      <c r="F106" s="72" t="s">
        <v>338</v>
      </c>
      <c r="G106" s="103">
        <f>G19+G27+G32+G48+G57+G79+G95+G101+G102+G105</f>
        <v>1525684050.4983883</v>
      </c>
    </row>
    <row r="107" spans="2:7" s="4" customFormat="1" ht="5.25" customHeight="1">
      <c r="B107" s="5"/>
      <c r="C107" s="227"/>
      <c r="D107" s="227"/>
      <c r="E107" s="138"/>
      <c r="F107" s="114"/>
      <c r="G107" s="115"/>
    </row>
    <row r="108" spans="2:7" s="4" customFormat="1" ht="5.25" customHeight="1" thickBot="1">
      <c r="B108" s="5"/>
      <c r="C108" s="227"/>
      <c r="D108" s="227"/>
      <c r="E108" s="138"/>
      <c r="F108" s="116"/>
      <c r="G108" s="116"/>
    </row>
    <row r="109" spans="2:7" s="4" customFormat="1" ht="16.5" customHeight="1" thickBot="1">
      <c r="B109" s="5"/>
      <c r="C109" s="227"/>
      <c r="D109" s="227"/>
      <c r="E109" s="138"/>
      <c r="F109" s="72" t="s">
        <v>339</v>
      </c>
      <c r="G109" s="103">
        <f>D61-G106</f>
        <v>83167365.285999775</v>
      </c>
    </row>
    <row r="110" spans="2:7" s="4" customFormat="1" ht="6.75" customHeight="1" thickBot="1">
      <c r="B110" s="5"/>
      <c r="C110" s="227"/>
      <c r="D110" s="227"/>
      <c r="E110" s="138"/>
      <c r="F110" s="116"/>
      <c r="G110" s="116"/>
    </row>
    <row r="111" spans="2:7" s="4" customFormat="1" ht="15" customHeight="1" thickBot="1">
      <c r="B111" s="6"/>
      <c r="C111" s="72" t="s">
        <v>269</v>
      </c>
      <c r="D111" s="118">
        <f>+[14]E.S.P.!D6</f>
        <v>2021</v>
      </c>
      <c r="E111" s="225"/>
      <c r="F111" s="72" t="s">
        <v>340</v>
      </c>
      <c r="G111" s="118">
        <f>+[14]E.S.P.!D6</f>
        <v>2021</v>
      </c>
    </row>
    <row r="112" spans="2:7" s="4" customFormat="1" ht="13.7" customHeight="1">
      <c r="B112" s="5" t="s">
        <v>341</v>
      </c>
      <c r="C112" s="119" t="s">
        <v>342</v>
      </c>
      <c r="D112" s="120">
        <v>3565825.6100000003</v>
      </c>
      <c r="E112" s="138" t="s">
        <v>343</v>
      </c>
      <c r="F112" s="119" t="s">
        <v>308</v>
      </c>
      <c r="G112" s="120">
        <v>0</v>
      </c>
    </row>
    <row r="113" spans="2:7" s="4" customFormat="1" ht="13.7" customHeight="1">
      <c r="B113" s="5" t="s">
        <v>344</v>
      </c>
      <c r="C113" s="121" t="s">
        <v>345</v>
      </c>
      <c r="D113" s="122">
        <v>0</v>
      </c>
      <c r="E113" s="138" t="s">
        <v>346</v>
      </c>
      <c r="F113" s="121" t="s">
        <v>347</v>
      </c>
      <c r="G113" s="122">
        <v>0</v>
      </c>
    </row>
    <row r="114" spans="2:7" s="4" customFormat="1" ht="13.7" customHeight="1">
      <c r="B114" s="5" t="s">
        <v>348</v>
      </c>
      <c r="C114" s="121" t="s">
        <v>48</v>
      </c>
      <c r="D114" s="122">
        <v>8030740.6999999993</v>
      </c>
      <c r="E114" s="138" t="s">
        <v>349</v>
      </c>
      <c r="F114" s="121" t="s">
        <v>350</v>
      </c>
      <c r="G114" s="122">
        <v>336714.08999999997</v>
      </c>
    </row>
    <row r="115" spans="2:7" s="4" customFormat="1" ht="13.7" customHeight="1">
      <c r="B115" s="5" t="s">
        <v>351</v>
      </c>
      <c r="C115" s="121" t="s">
        <v>352</v>
      </c>
      <c r="D115" s="122">
        <v>176359</v>
      </c>
      <c r="E115" s="138" t="s">
        <v>353</v>
      </c>
      <c r="F115" s="121" t="s">
        <v>354</v>
      </c>
      <c r="G115" s="122">
        <v>1607252.12</v>
      </c>
    </row>
    <row r="116" spans="2:7" s="4" customFormat="1" ht="13.7" customHeight="1">
      <c r="B116" s="5" t="s">
        <v>355</v>
      </c>
      <c r="C116" s="121" t="s">
        <v>356</v>
      </c>
      <c r="D116" s="122">
        <v>108272</v>
      </c>
      <c r="E116" s="138" t="s">
        <v>357</v>
      </c>
      <c r="F116" s="121" t="s">
        <v>358</v>
      </c>
      <c r="G116" s="122">
        <v>635601.59</v>
      </c>
    </row>
    <row r="117" spans="2:7" s="4" customFormat="1" ht="13.7" customHeight="1">
      <c r="B117" s="5" t="s">
        <v>359</v>
      </c>
      <c r="C117" s="121" t="s">
        <v>360</v>
      </c>
      <c r="D117" s="122">
        <v>409108</v>
      </c>
      <c r="E117" s="138" t="s">
        <v>361</v>
      </c>
      <c r="F117" s="121" t="s">
        <v>362</v>
      </c>
      <c r="G117" s="122">
        <v>20084.84</v>
      </c>
    </row>
    <row r="118" spans="2:7" s="4" customFormat="1" ht="13.7" customHeight="1">
      <c r="B118" s="5" t="s">
        <v>363</v>
      </c>
      <c r="C118" s="121" t="s">
        <v>364</v>
      </c>
      <c r="D118" s="122">
        <v>0</v>
      </c>
      <c r="E118" s="138" t="s">
        <v>365</v>
      </c>
      <c r="F118" s="121" t="s">
        <v>366</v>
      </c>
      <c r="G118" s="122">
        <v>0</v>
      </c>
    </row>
    <row r="119" spans="2:7" s="4" customFormat="1" ht="13.7" customHeight="1">
      <c r="B119" s="5" t="s">
        <v>367</v>
      </c>
      <c r="C119" s="121" t="s">
        <v>368</v>
      </c>
      <c r="D119" s="122">
        <v>97948.6</v>
      </c>
      <c r="E119" s="138" t="s">
        <v>369</v>
      </c>
      <c r="F119" s="121" t="s">
        <v>370</v>
      </c>
      <c r="G119" s="122">
        <v>0</v>
      </c>
    </row>
    <row r="120" spans="2:7" s="4" customFormat="1" ht="13.7" customHeight="1">
      <c r="B120" s="5" t="s">
        <v>371</v>
      </c>
      <c r="C120" s="121" t="s">
        <v>372</v>
      </c>
      <c r="D120" s="122">
        <v>0</v>
      </c>
      <c r="E120" s="138" t="s">
        <v>373</v>
      </c>
      <c r="F120" s="121" t="s">
        <v>374</v>
      </c>
      <c r="G120" s="122">
        <v>0</v>
      </c>
    </row>
    <row r="121" spans="2:7" s="4" customFormat="1" ht="13.7" customHeight="1">
      <c r="B121" s="5" t="s">
        <v>375</v>
      </c>
      <c r="C121" s="78" t="s">
        <v>376</v>
      </c>
      <c r="D121" s="122">
        <v>461138.5</v>
      </c>
      <c r="E121" s="138" t="s">
        <v>377</v>
      </c>
      <c r="F121" s="121" t="s">
        <v>378</v>
      </c>
      <c r="G121" s="122">
        <v>657229.5</v>
      </c>
    </row>
    <row r="122" spans="2:7" s="4" customFormat="1" ht="13.7" customHeight="1" thickBot="1">
      <c r="B122" s="5"/>
      <c r="C122" s="85" t="s">
        <v>379</v>
      </c>
      <c r="D122" s="94">
        <f>SUM(D112:D121)</f>
        <v>12849392.409999998</v>
      </c>
      <c r="E122" s="138" t="s">
        <v>380</v>
      </c>
      <c r="F122" s="78" t="s">
        <v>381</v>
      </c>
      <c r="G122" s="79">
        <v>76164.5</v>
      </c>
    </row>
    <row r="123" spans="2:7" s="4" customFormat="1" ht="13.7" customHeight="1" thickBot="1">
      <c r="B123" s="5" t="s">
        <v>382</v>
      </c>
      <c r="C123" s="123" t="s">
        <v>308</v>
      </c>
      <c r="D123" s="120">
        <v>0</v>
      </c>
      <c r="E123" s="225"/>
      <c r="F123" s="85" t="s">
        <v>383</v>
      </c>
      <c r="G123" s="94">
        <f>SUM(G112:G122)</f>
        <v>3333046.6399999997</v>
      </c>
    </row>
    <row r="124" spans="2:7" s="4" customFormat="1" ht="13.7" customHeight="1">
      <c r="B124" s="5" t="s">
        <v>384</v>
      </c>
      <c r="C124" s="121" t="s">
        <v>312</v>
      </c>
      <c r="D124" s="122">
        <v>4477119</v>
      </c>
      <c r="E124" s="138" t="s">
        <v>385</v>
      </c>
      <c r="F124" s="121" t="s">
        <v>386</v>
      </c>
      <c r="G124" s="122">
        <v>3025256.59</v>
      </c>
    </row>
    <row r="125" spans="2:7" s="4" customFormat="1" ht="13.7" customHeight="1">
      <c r="B125" s="5" t="s">
        <v>387</v>
      </c>
      <c r="C125" s="78" t="s">
        <v>388</v>
      </c>
      <c r="D125" s="122">
        <v>162388.0975361336</v>
      </c>
      <c r="E125" s="138" t="s">
        <v>389</v>
      </c>
      <c r="F125" s="121" t="s">
        <v>390</v>
      </c>
      <c r="G125" s="122">
        <v>195556.91999999998</v>
      </c>
    </row>
    <row r="126" spans="2:7" s="4" customFormat="1" ht="13.7" customHeight="1" thickBot="1">
      <c r="B126" s="5"/>
      <c r="C126" s="85" t="s">
        <v>391</v>
      </c>
      <c r="D126" s="94">
        <f>SUM(D123:D125)</f>
        <v>4639507.0975361336</v>
      </c>
      <c r="E126" s="138" t="s">
        <v>392</v>
      </c>
      <c r="F126" s="121" t="s">
        <v>393</v>
      </c>
      <c r="G126" s="122">
        <v>0</v>
      </c>
    </row>
    <row r="127" spans="2:7" s="4" customFormat="1" ht="13.7" customHeight="1">
      <c r="B127" s="5" t="s">
        <v>394</v>
      </c>
      <c r="C127" s="119" t="s">
        <v>273</v>
      </c>
      <c r="D127" s="120">
        <v>0</v>
      </c>
      <c r="E127" s="138" t="s">
        <v>395</v>
      </c>
      <c r="F127" s="121" t="s">
        <v>396</v>
      </c>
      <c r="G127" s="122">
        <v>0</v>
      </c>
    </row>
    <row r="128" spans="2:7" s="4" customFormat="1" ht="13.7" customHeight="1">
      <c r="B128" s="5" t="s">
        <v>397</v>
      </c>
      <c r="C128" s="121" t="s">
        <v>398</v>
      </c>
      <c r="D128" s="122">
        <v>0</v>
      </c>
      <c r="E128" s="138" t="s">
        <v>399</v>
      </c>
      <c r="F128" s="121" t="s">
        <v>400</v>
      </c>
      <c r="G128" s="122">
        <v>984756</v>
      </c>
    </row>
    <row r="129" spans="2:7" s="4" customFormat="1" ht="13.7" customHeight="1">
      <c r="B129" s="5" t="s">
        <v>401</v>
      </c>
      <c r="C129" s="121" t="s">
        <v>276</v>
      </c>
      <c r="D129" s="122">
        <v>0</v>
      </c>
      <c r="E129" s="138" t="s">
        <v>402</v>
      </c>
      <c r="F129" s="121" t="s">
        <v>403</v>
      </c>
      <c r="G129" s="122">
        <v>917007.92999999993</v>
      </c>
    </row>
    <row r="130" spans="2:7" s="4" customFormat="1" ht="13.7" customHeight="1">
      <c r="B130" s="5" t="s">
        <v>404</v>
      </c>
      <c r="C130" s="121" t="s">
        <v>282</v>
      </c>
      <c r="D130" s="122">
        <v>292240.42</v>
      </c>
      <c r="E130" s="138" t="s">
        <v>405</v>
      </c>
      <c r="F130" s="121" t="s">
        <v>406</v>
      </c>
      <c r="G130" s="122">
        <v>0</v>
      </c>
    </row>
    <row r="131" spans="2:7" s="4" customFormat="1" ht="13.7" customHeight="1">
      <c r="B131" s="5" t="s">
        <v>407</v>
      </c>
      <c r="C131" s="121" t="s">
        <v>286</v>
      </c>
      <c r="D131" s="122">
        <v>1113586.8400000001</v>
      </c>
      <c r="E131" s="138" t="s">
        <v>408</v>
      </c>
      <c r="F131" s="121" t="s">
        <v>409</v>
      </c>
      <c r="G131" s="122">
        <v>0</v>
      </c>
    </row>
    <row r="132" spans="2:7" s="4" customFormat="1" ht="13.7" customHeight="1">
      <c r="B132" s="5" t="s">
        <v>410</v>
      </c>
      <c r="C132" s="121" t="s">
        <v>290</v>
      </c>
      <c r="D132" s="122">
        <v>10705504.580000002</v>
      </c>
      <c r="E132" s="138" t="s">
        <v>411</v>
      </c>
      <c r="F132" s="121" t="s">
        <v>412</v>
      </c>
      <c r="G132" s="122">
        <v>0</v>
      </c>
    </row>
    <row r="133" spans="2:7" s="4" customFormat="1" ht="13.7" customHeight="1">
      <c r="B133" s="5" t="s">
        <v>413</v>
      </c>
      <c r="C133" s="121" t="s">
        <v>294</v>
      </c>
      <c r="D133" s="122">
        <v>99103.010000000009</v>
      </c>
      <c r="E133" s="138" t="s">
        <v>414</v>
      </c>
      <c r="F133" s="121" t="s">
        <v>415</v>
      </c>
      <c r="G133" s="122">
        <v>0</v>
      </c>
    </row>
    <row r="134" spans="2:7" s="4" customFormat="1" ht="13.7" customHeight="1">
      <c r="B134" s="5" t="s">
        <v>416</v>
      </c>
      <c r="C134" s="121" t="s">
        <v>417</v>
      </c>
      <c r="D134" s="122">
        <v>852648.03999999992</v>
      </c>
      <c r="E134" s="138" t="s">
        <v>418</v>
      </c>
      <c r="F134" s="121" t="s">
        <v>419</v>
      </c>
      <c r="G134" s="122">
        <v>0</v>
      </c>
    </row>
    <row r="135" spans="2:7" s="4" customFormat="1" ht="13.7" customHeight="1">
      <c r="B135" s="5" t="s">
        <v>420</v>
      </c>
      <c r="C135" s="121" t="s">
        <v>421</v>
      </c>
      <c r="D135" s="122">
        <v>146944.20000000001</v>
      </c>
      <c r="E135" s="138" t="s">
        <v>422</v>
      </c>
      <c r="F135" s="121" t="s">
        <v>423</v>
      </c>
      <c r="G135" s="122">
        <v>0</v>
      </c>
    </row>
    <row r="136" spans="2:7" s="4" customFormat="1" ht="13.7" customHeight="1">
      <c r="B136" s="5" t="s">
        <v>424</v>
      </c>
      <c r="C136" s="121" t="s">
        <v>317</v>
      </c>
      <c r="D136" s="122">
        <v>17831369.180000003</v>
      </c>
      <c r="E136" s="138" t="s">
        <v>425</v>
      </c>
      <c r="F136" s="121" t="s">
        <v>426</v>
      </c>
      <c r="G136" s="122">
        <v>78110</v>
      </c>
    </row>
    <row r="137" spans="2:7" s="4" customFormat="1" ht="13.7" customHeight="1">
      <c r="B137" s="5" t="s">
        <v>427</v>
      </c>
      <c r="C137" s="78" t="s">
        <v>319</v>
      </c>
      <c r="D137" s="124">
        <v>1112610.5</v>
      </c>
      <c r="E137" s="138" t="s">
        <v>428</v>
      </c>
      <c r="F137" s="121" t="s">
        <v>429</v>
      </c>
      <c r="G137" s="122">
        <v>10449486.280000001</v>
      </c>
    </row>
    <row r="138" spans="2:7" s="4" customFormat="1" ht="13.7" customHeight="1" thickBot="1">
      <c r="B138" s="5"/>
      <c r="C138" s="85" t="s">
        <v>320</v>
      </c>
      <c r="D138" s="94">
        <f>SUM(D127:D137)</f>
        <v>32154006.770000003</v>
      </c>
      <c r="E138" s="138" t="s">
        <v>430</v>
      </c>
      <c r="F138" s="78" t="s">
        <v>431</v>
      </c>
      <c r="G138" s="79">
        <v>241844.8</v>
      </c>
    </row>
    <row r="139" spans="2:7" s="4" customFormat="1" ht="13.7" customHeight="1" thickBot="1">
      <c r="B139" s="5" t="s">
        <v>432</v>
      </c>
      <c r="C139" s="119" t="s">
        <v>326</v>
      </c>
      <c r="D139" s="120">
        <v>0</v>
      </c>
      <c r="E139" s="228"/>
      <c r="F139" s="85" t="s">
        <v>433</v>
      </c>
      <c r="G139" s="94">
        <f>SUM(G124:G138)</f>
        <v>15892018.520000001</v>
      </c>
    </row>
    <row r="140" spans="2:7" s="4" customFormat="1" ht="13.7" customHeight="1" thickBot="1">
      <c r="B140" s="5" t="s">
        <v>434</v>
      </c>
      <c r="C140" s="121" t="s">
        <v>328</v>
      </c>
      <c r="D140" s="122">
        <v>4723421.8559999997</v>
      </c>
      <c r="E140" s="228"/>
      <c r="F140" s="110" t="s">
        <v>435</v>
      </c>
      <c r="G140" s="126">
        <f>G123-G139</f>
        <v>-12558971.880000003</v>
      </c>
    </row>
    <row r="141" spans="2:7" s="4" customFormat="1" ht="13.7" customHeight="1">
      <c r="B141" s="5" t="s">
        <v>436</v>
      </c>
      <c r="C141" s="78" t="s">
        <v>330</v>
      </c>
      <c r="D141" s="124">
        <v>173884.95680000001</v>
      </c>
      <c r="E141" s="229"/>
      <c r="F141" s="116"/>
      <c r="G141" s="116"/>
    </row>
    <row r="142" spans="2:7" s="4" customFormat="1" ht="13.7" customHeight="1" thickBot="1">
      <c r="B142" s="5"/>
      <c r="C142" s="85" t="s">
        <v>331</v>
      </c>
      <c r="D142" s="94">
        <f>SUM(D139:D141)</f>
        <v>4897306.8127999995</v>
      </c>
      <c r="E142" s="229"/>
      <c r="F142" s="116"/>
      <c r="G142" s="116"/>
    </row>
    <row r="143" spans="2:7" s="4" customFormat="1" ht="13.5" customHeight="1" thickBot="1">
      <c r="B143" s="5"/>
      <c r="C143" s="110" t="s">
        <v>332</v>
      </c>
      <c r="D143" s="126">
        <f>[14]Amortizaciones!D33</f>
        <v>8922022</v>
      </c>
      <c r="E143" s="138"/>
      <c r="F143" s="72" t="s">
        <v>437</v>
      </c>
      <c r="G143" s="118">
        <f>+[14]E.S.P.!D6</f>
        <v>2021</v>
      </c>
    </row>
    <row r="144" spans="2:7" s="4" customFormat="1" ht="13.7" customHeight="1">
      <c r="B144" s="5" t="s">
        <v>438</v>
      </c>
      <c r="C144" s="119" t="s">
        <v>439</v>
      </c>
      <c r="D144" s="120">
        <v>0</v>
      </c>
      <c r="E144" s="138" t="s">
        <v>440</v>
      </c>
      <c r="F144" s="119" t="s">
        <v>441</v>
      </c>
      <c r="G144" s="120">
        <v>4555894</v>
      </c>
    </row>
    <row r="145" spans="2:7" s="4" customFormat="1" ht="13.7" customHeight="1">
      <c r="B145" s="5" t="s">
        <v>442</v>
      </c>
      <c r="C145" s="121" t="s">
        <v>443</v>
      </c>
      <c r="D145" s="122">
        <v>0</v>
      </c>
      <c r="E145" s="138" t="s">
        <v>444</v>
      </c>
      <c r="F145" s="121" t="s">
        <v>445</v>
      </c>
      <c r="G145" s="122">
        <v>0</v>
      </c>
    </row>
    <row r="146" spans="2:7" s="4" customFormat="1" ht="13.7" customHeight="1">
      <c r="B146" s="5" t="s">
        <v>446</v>
      </c>
      <c r="C146" s="128" t="s">
        <v>447</v>
      </c>
      <c r="D146" s="122">
        <v>0</v>
      </c>
      <c r="E146" s="138" t="s">
        <v>448</v>
      </c>
      <c r="F146" s="121" t="s">
        <v>449</v>
      </c>
      <c r="G146" s="122">
        <v>0</v>
      </c>
    </row>
    <row r="147" spans="2:7" s="4" customFormat="1" ht="13.7" customHeight="1">
      <c r="B147" s="5" t="s">
        <v>450</v>
      </c>
      <c r="C147" s="78" t="s">
        <v>451</v>
      </c>
      <c r="D147" s="124">
        <v>0</v>
      </c>
      <c r="E147" s="138" t="s">
        <v>452</v>
      </c>
      <c r="F147" s="121" t="s">
        <v>453</v>
      </c>
      <c r="G147" s="122">
        <v>0</v>
      </c>
    </row>
    <row r="148" spans="2:7" s="4" customFormat="1" ht="13.7" customHeight="1" thickBot="1">
      <c r="B148" s="5"/>
      <c r="C148" s="85" t="s">
        <v>518</v>
      </c>
      <c r="D148" s="94">
        <f>SUM(D144:D147)</f>
        <v>0</v>
      </c>
      <c r="E148" s="138" t="s">
        <v>454</v>
      </c>
      <c r="F148" s="121" t="s">
        <v>455</v>
      </c>
      <c r="G148" s="122">
        <v>0</v>
      </c>
    </row>
    <row r="149" spans="2:7" s="4" customFormat="1" ht="13.7" customHeight="1">
      <c r="B149" s="5" t="s">
        <v>456</v>
      </c>
      <c r="C149" s="119" t="s">
        <v>457</v>
      </c>
      <c r="D149" s="120">
        <v>0</v>
      </c>
      <c r="E149" s="138" t="s">
        <v>458</v>
      </c>
      <c r="F149" s="121" t="s">
        <v>459</v>
      </c>
      <c r="G149" s="122">
        <v>0</v>
      </c>
    </row>
    <row r="150" spans="2:7" s="4" customFormat="1" ht="13.7" customHeight="1">
      <c r="B150" s="5" t="s">
        <v>460</v>
      </c>
      <c r="C150" s="121" t="s">
        <v>461</v>
      </c>
      <c r="D150" s="122">
        <v>0</v>
      </c>
      <c r="E150" s="138" t="s">
        <v>462</v>
      </c>
      <c r="F150" s="121" t="s">
        <v>463</v>
      </c>
      <c r="G150" s="122">
        <v>0</v>
      </c>
    </row>
    <row r="151" spans="2:7" s="4" customFormat="1" ht="13.7" customHeight="1">
      <c r="B151" s="5" t="s">
        <v>464</v>
      </c>
      <c r="C151" s="78" t="s">
        <v>465</v>
      </c>
      <c r="D151" s="124">
        <v>0</v>
      </c>
      <c r="E151" s="138" t="s">
        <v>466</v>
      </c>
      <c r="F151" s="121" t="s">
        <v>467</v>
      </c>
      <c r="G151" s="122">
        <v>8273497</v>
      </c>
    </row>
    <row r="152" spans="2:7" s="4" customFormat="1" ht="13.7" customHeight="1" thickBot="1">
      <c r="B152" s="5"/>
      <c r="C152" s="85" t="s">
        <v>516</v>
      </c>
      <c r="D152" s="94">
        <f>SUM(D149:D151)</f>
        <v>0</v>
      </c>
      <c r="E152" s="138" t="s">
        <v>469</v>
      </c>
      <c r="F152" s="121" t="s">
        <v>470</v>
      </c>
      <c r="G152" s="122">
        <v>22810.27</v>
      </c>
    </row>
    <row r="153" spans="2:7" s="4" customFormat="1" ht="15" customHeight="1" thickBot="1">
      <c r="B153" s="5"/>
      <c r="C153" s="110" t="s">
        <v>471</v>
      </c>
      <c r="D153" s="129">
        <f>D122+D126+D138+D142+D143+D148+D152</f>
        <v>63462235.090336137</v>
      </c>
      <c r="E153" s="138" t="s">
        <v>472</v>
      </c>
      <c r="F153" s="78" t="s">
        <v>473</v>
      </c>
      <c r="G153" s="79">
        <v>158573.0834240457</v>
      </c>
    </row>
    <row r="154" spans="2:7" s="4" customFormat="1" ht="13.7" customHeight="1" thickBot="1">
      <c r="B154" s="5"/>
      <c r="C154" s="116"/>
      <c r="D154" s="116"/>
      <c r="E154" s="138"/>
      <c r="F154" s="85" t="s">
        <v>474</v>
      </c>
      <c r="G154" s="94">
        <f>SUM(G144:G153)</f>
        <v>13010774.353424046</v>
      </c>
    </row>
    <row r="155" spans="2:7" s="4" customFormat="1" ht="13.5" customHeight="1" thickBot="1">
      <c r="B155" s="5"/>
      <c r="C155" s="72" t="s">
        <v>475</v>
      </c>
      <c r="D155" s="103">
        <f>G109-D153</f>
        <v>19705130.195663638</v>
      </c>
      <c r="E155" s="138" t="s">
        <v>476</v>
      </c>
      <c r="F155" s="119" t="s">
        <v>477</v>
      </c>
      <c r="G155" s="120">
        <v>9504323.629999999</v>
      </c>
    </row>
    <row r="156" spans="2:7" s="4" customFormat="1" ht="13.7" customHeight="1">
      <c r="B156" s="6"/>
      <c r="C156" s="116"/>
      <c r="D156" s="116"/>
      <c r="E156" s="138" t="s">
        <v>478</v>
      </c>
      <c r="F156" s="121" t="s">
        <v>479</v>
      </c>
      <c r="G156" s="122">
        <v>0</v>
      </c>
    </row>
    <row r="157" spans="2:7" s="4" customFormat="1" ht="13.7" customHeight="1">
      <c r="B157" s="6"/>
      <c r="C157" s="116"/>
      <c r="D157" s="116"/>
      <c r="E157" s="138" t="s">
        <v>480</v>
      </c>
      <c r="F157" s="121" t="s">
        <v>481</v>
      </c>
      <c r="G157" s="122">
        <v>0</v>
      </c>
    </row>
    <row r="158" spans="2:7" s="4" customFormat="1" ht="13.7" customHeight="1">
      <c r="B158" s="6"/>
      <c r="C158" s="116"/>
      <c r="D158" s="116"/>
      <c r="E158" s="138" t="s">
        <v>482</v>
      </c>
      <c r="F158" s="121" t="s">
        <v>483</v>
      </c>
      <c r="G158" s="122">
        <v>0</v>
      </c>
    </row>
    <row r="159" spans="2:7" s="4" customFormat="1" ht="13.7" customHeight="1">
      <c r="B159" s="6"/>
      <c r="C159" s="116"/>
      <c r="D159" s="116"/>
      <c r="E159" s="138" t="s">
        <v>484</v>
      </c>
      <c r="F159" s="121" t="s">
        <v>485</v>
      </c>
      <c r="G159" s="122">
        <v>0</v>
      </c>
    </row>
    <row r="160" spans="2:7" s="4" customFormat="1" ht="13.7" customHeight="1">
      <c r="B160" s="6"/>
      <c r="C160" s="116"/>
      <c r="D160" s="116"/>
      <c r="E160" s="138" t="s">
        <v>486</v>
      </c>
      <c r="F160" s="121" t="s">
        <v>487</v>
      </c>
      <c r="G160" s="122">
        <v>12992</v>
      </c>
    </row>
    <row r="161" spans="3:7" s="4" customFormat="1" ht="13.7" customHeight="1">
      <c r="C161" s="134"/>
      <c r="D161" s="134"/>
      <c r="E161" s="138" t="s">
        <v>488</v>
      </c>
      <c r="F161" s="121" t="s">
        <v>489</v>
      </c>
      <c r="G161" s="122">
        <v>0</v>
      </c>
    </row>
    <row r="162" spans="3:7" s="4" customFormat="1" ht="13.7" customHeight="1">
      <c r="C162" s="134"/>
      <c r="D162" s="134"/>
      <c r="E162" s="138" t="s">
        <v>490</v>
      </c>
      <c r="F162" s="121" t="s">
        <v>491</v>
      </c>
      <c r="G162" s="122">
        <v>0</v>
      </c>
    </row>
    <row r="163" spans="3:7" s="4" customFormat="1" ht="13.7" customHeight="1">
      <c r="C163" s="134"/>
      <c r="D163" s="134"/>
      <c r="E163" s="138" t="s">
        <v>492</v>
      </c>
      <c r="F163" s="121" t="s">
        <v>493</v>
      </c>
      <c r="G163" s="122">
        <v>0</v>
      </c>
    </row>
    <row r="164" spans="3:7" s="4" customFormat="1" ht="13.7" customHeight="1">
      <c r="C164" s="134"/>
      <c r="D164" s="134"/>
      <c r="E164" s="138" t="s">
        <v>494</v>
      </c>
      <c r="F164" s="121" t="s">
        <v>495</v>
      </c>
      <c r="G164" s="122">
        <v>290325</v>
      </c>
    </row>
    <row r="165" spans="3:7" s="4" customFormat="1" ht="13.7" customHeight="1">
      <c r="C165" s="134"/>
      <c r="D165" s="134"/>
      <c r="E165" s="138" t="s">
        <v>496</v>
      </c>
      <c r="F165" s="121" t="s">
        <v>497</v>
      </c>
      <c r="G165" s="122">
        <v>0</v>
      </c>
    </row>
    <row r="166" spans="3:7" s="4" customFormat="1" ht="13.7" customHeight="1">
      <c r="C166" s="134"/>
      <c r="D166" s="134"/>
      <c r="E166" s="138" t="s">
        <v>498</v>
      </c>
      <c r="F166" s="121" t="s">
        <v>499</v>
      </c>
      <c r="G166" s="122">
        <v>1786170.7800000003</v>
      </c>
    </row>
    <row r="167" spans="3:7" s="4" customFormat="1" ht="13.7" customHeight="1">
      <c r="C167" s="134"/>
      <c r="D167" s="134"/>
      <c r="E167" s="138" t="s">
        <v>500</v>
      </c>
      <c r="F167" s="78" t="s">
        <v>501</v>
      </c>
      <c r="G167" s="79">
        <v>434963.76836866885</v>
      </c>
    </row>
    <row r="168" spans="3:7" s="4" customFormat="1" ht="13.7" customHeight="1" thickBot="1">
      <c r="C168" s="134"/>
      <c r="D168" s="134"/>
      <c r="E168" s="138"/>
      <c r="F168" s="85" t="s">
        <v>502</v>
      </c>
      <c r="G168" s="94">
        <f>SUM(G155:G167)</f>
        <v>12028775.178368669</v>
      </c>
    </row>
    <row r="169" spans="3:7" s="4" customFormat="1" ht="13.7" customHeight="1" thickBot="1">
      <c r="C169" s="134"/>
      <c r="D169" s="134"/>
      <c r="E169" s="138"/>
      <c r="F169" s="110" t="s">
        <v>503</v>
      </c>
      <c r="G169" s="126">
        <f>G154-G168</f>
        <v>981999.17505537719</v>
      </c>
    </row>
    <row r="170" spans="3:7" s="4" customFormat="1" ht="7.5" customHeight="1" thickBot="1">
      <c r="C170" s="134"/>
      <c r="D170" s="134"/>
      <c r="E170" s="138"/>
      <c r="F170" s="116"/>
      <c r="G170" s="116"/>
    </row>
    <row r="171" spans="3:7" s="4" customFormat="1" ht="13.7" customHeight="1" thickBot="1">
      <c r="C171" s="134"/>
      <c r="D171" s="134"/>
      <c r="E171" s="138"/>
      <c r="F171" s="72" t="s">
        <v>504</v>
      </c>
      <c r="G171" s="131"/>
    </row>
    <row r="172" spans="3:7" s="4" customFormat="1" ht="13.7" customHeight="1" thickBot="1">
      <c r="C172" s="134"/>
      <c r="D172" s="134"/>
      <c r="E172" s="138"/>
      <c r="F172" s="132"/>
      <c r="G172" s="133">
        <f>+D155+G140+G169</f>
        <v>8128157.4907190129</v>
      </c>
    </row>
    <row r="173" spans="3:7" s="4" customFormat="1" ht="9" customHeight="1" thickBot="1">
      <c r="C173" s="134"/>
      <c r="D173" s="134"/>
      <c r="E173" s="138"/>
      <c r="F173" s="134"/>
      <c r="G173" s="135"/>
    </row>
    <row r="174" spans="3:7" s="4" customFormat="1" ht="15" customHeight="1" thickBot="1">
      <c r="C174" s="134"/>
      <c r="D174" s="134"/>
      <c r="E174" s="138"/>
      <c r="F174" s="72" t="s">
        <v>505</v>
      </c>
      <c r="G174" s="118">
        <f>+G143</f>
        <v>2021</v>
      </c>
    </row>
    <row r="175" spans="3:7" s="4" customFormat="1" ht="13.7" customHeight="1">
      <c r="C175" s="134"/>
      <c r="D175" s="134"/>
      <c r="E175" s="138"/>
      <c r="F175" s="119" t="s">
        <v>506</v>
      </c>
      <c r="G175" s="120">
        <v>0</v>
      </c>
    </row>
    <row r="176" spans="3:7" s="4" customFormat="1" ht="13.7" customHeight="1">
      <c r="C176" s="134"/>
      <c r="D176" s="134"/>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8128157.4907190129</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E1:F1"/>
    <mergeCell ref="E2:F2"/>
    <mergeCell ref="E3:F3"/>
    <mergeCell ref="C1:D1"/>
    <mergeCell ref="C2:D2"/>
    <mergeCell ref="C3:D3"/>
  </mergeCells>
  <conditionalFormatting sqref="D7:D12">
    <cfRule type="cellIs" dxfId="394" priority="23" stopIfTrue="1" operator="greaterThan">
      <formula>50</formula>
    </cfRule>
    <cfRule type="cellIs" dxfId="393" priority="31" stopIfTrue="1" operator="equal">
      <formula>0</formula>
    </cfRule>
  </conditionalFormatting>
  <conditionalFormatting sqref="D7:D61">
    <cfRule type="cellIs" dxfId="392" priority="29" stopIfTrue="1" operator="between">
      <formula>-0.1</formula>
      <formula>-50</formula>
    </cfRule>
    <cfRule type="cellIs" dxfId="391" priority="30" stopIfTrue="1" operator="between">
      <formula>0.1</formula>
      <formula>50</formula>
    </cfRule>
  </conditionalFormatting>
  <conditionalFormatting sqref="G152:G181 G7:G150">
    <cfRule type="cellIs" dxfId="390" priority="27" stopIfTrue="1" operator="between">
      <formula>-0.1</formula>
      <formula>-50</formula>
    </cfRule>
    <cfRule type="cellIs" dxfId="389" priority="28" stopIfTrue="1" operator="between">
      <formula>0.1</formula>
      <formula>50</formula>
    </cfRule>
  </conditionalFormatting>
  <conditionalFormatting sqref="D111:D155">
    <cfRule type="cellIs" dxfId="388" priority="25" stopIfTrue="1" operator="between">
      <formula>-0.1</formula>
      <formula>-50</formula>
    </cfRule>
    <cfRule type="cellIs" dxfId="387" priority="26" stopIfTrue="1" operator="between">
      <formula>0.1</formula>
      <formula>50</formula>
    </cfRule>
  </conditionalFormatting>
  <conditionalFormatting sqref="G165">
    <cfRule type="expression" dxfId="386" priority="24" stopIfTrue="1">
      <formula>AND($G$165&gt;0,$G$151&gt;0)</formula>
    </cfRule>
  </conditionalFormatting>
  <conditionalFormatting sqref="G151">
    <cfRule type="expression" dxfId="385" priority="22"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8 E20:E26 E28:E31 E34:E39 E41:E47 E49:E56 E58:E78 E80:E94 E96:E100 E103:E104 E112:E122 E124:E138 E155:E167 E144:E153" numberStoredAsText="1"/>
    <ignoredError sqref="G4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D172" sqref="D172"/>
    </sheetView>
  </sheetViews>
  <sheetFormatPr baseColWidth="10" defaultColWidth="0" defaultRowHeight="15.75" zeroHeight="1"/>
  <cols>
    <col min="1" max="1" width="3" style="1" customWidth="1"/>
    <col min="2" max="2" width="14.28515625" style="6" hidden="1" customWidth="1"/>
    <col min="3" max="3" width="56.7109375" style="19" customWidth="1"/>
    <col min="4" max="4" width="21" style="19" customWidth="1"/>
    <col min="5" max="5" width="3.85546875" style="13" customWidth="1"/>
    <col min="6" max="6" width="57.28515625" style="19" customWidth="1"/>
    <col min="7" max="7" width="21" style="19" customWidth="1"/>
    <col min="8" max="8" width="3" style="4" customWidth="1"/>
    <col min="9" max="16384" width="0" style="4" hidden="1"/>
  </cols>
  <sheetData>
    <row r="1" spans="1:9">
      <c r="B1" s="2"/>
      <c r="C1" s="255" t="s">
        <v>0</v>
      </c>
      <c r="D1" s="258"/>
      <c r="E1" s="253" t="str">
        <f>[15]Presentacion!C3</f>
        <v>CRAMI - IAMPP</v>
      </c>
      <c r="F1" s="253"/>
      <c r="G1" s="136"/>
      <c r="H1" s="3"/>
    </row>
    <row r="2" spans="1:9">
      <c r="B2" s="5"/>
      <c r="C2" s="255" t="s">
        <v>1</v>
      </c>
      <c r="D2" s="258"/>
      <c r="E2" s="253" t="str">
        <f>[15]Presentacion!C4</f>
        <v>Canelones</v>
      </c>
      <c r="F2" s="253"/>
      <c r="G2" s="136"/>
      <c r="H2" s="3"/>
    </row>
    <row r="3" spans="1:9">
      <c r="B3" s="5"/>
      <c r="C3" s="255" t="s">
        <v>2</v>
      </c>
      <c r="D3" s="255"/>
      <c r="E3" s="254" t="s">
        <v>3</v>
      </c>
      <c r="F3" s="254"/>
      <c r="G3" s="136"/>
      <c r="H3" s="3"/>
    </row>
    <row r="4" spans="1:9" ht="13.5" customHeight="1" thickBot="1">
      <c r="C4" s="65"/>
      <c r="D4" s="7"/>
      <c r="E4" s="8"/>
      <c r="F4" s="9"/>
      <c r="G4" s="10"/>
    </row>
    <row r="5" spans="1:9" ht="18.75" customHeight="1" thickBot="1">
      <c r="B5" s="11"/>
      <c r="C5" s="72" t="s">
        <v>4</v>
      </c>
      <c r="D5" s="73" t="s">
        <v>5</v>
      </c>
      <c r="E5" s="137"/>
      <c r="F5" s="72" t="s">
        <v>6</v>
      </c>
      <c r="G5" s="73" t="s">
        <v>5</v>
      </c>
      <c r="I5" s="12"/>
    </row>
    <row r="6" spans="1:9" ht="12.75" customHeight="1" thickBot="1">
      <c r="B6" s="11"/>
      <c r="C6" s="75" t="s">
        <v>7</v>
      </c>
      <c r="D6" s="76">
        <f>+[15]E.S.P.!D6</f>
        <v>2021</v>
      </c>
      <c r="E6" s="138"/>
      <c r="F6" s="75" t="s">
        <v>8</v>
      </c>
      <c r="G6" s="76">
        <f>+D6</f>
        <v>2021</v>
      </c>
      <c r="H6" s="12"/>
    </row>
    <row r="7" spans="1:9">
      <c r="B7" s="5" t="s">
        <v>9</v>
      </c>
      <c r="C7" s="78" t="s">
        <v>10</v>
      </c>
      <c r="D7" s="79">
        <v>24010410</v>
      </c>
      <c r="E7" s="138" t="s">
        <v>11</v>
      </c>
      <c r="F7" s="80" t="s">
        <v>12</v>
      </c>
      <c r="G7" s="81">
        <v>45918968</v>
      </c>
    </row>
    <row r="8" spans="1:9">
      <c r="B8" s="5" t="s">
        <v>13</v>
      </c>
      <c r="C8" s="78" t="s">
        <v>14</v>
      </c>
      <c r="D8" s="79">
        <v>48587833</v>
      </c>
      <c r="E8" s="138" t="s">
        <v>15</v>
      </c>
      <c r="F8" s="78" t="s">
        <v>16</v>
      </c>
      <c r="G8" s="82">
        <v>36955111</v>
      </c>
    </row>
    <row r="9" spans="1:9">
      <c r="B9" s="5" t="s">
        <v>17</v>
      </c>
      <c r="C9" s="78" t="s">
        <v>18</v>
      </c>
      <c r="D9" s="79">
        <v>1152380567</v>
      </c>
      <c r="E9" s="138" t="s">
        <v>19</v>
      </c>
      <c r="F9" s="78" t="s">
        <v>20</v>
      </c>
      <c r="G9" s="79">
        <v>41600879</v>
      </c>
    </row>
    <row r="10" spans="1:9">
      <c r="B10" s="5" t="s">
        <v>21</v>
      </c>
      <c r="C10" s="78" t="s">
        <v>22</v>
      </c>
      <c r="D10" s="79">
        <v>88597141</v>
      </c>
      <c r="E10" s="138" t="s">
        <v>23</v>
      </c>
      <c r="F10" s="78" t="s">
        <v>24</v>
      </c>
      <c r="G10" s="79">
        <v>58017965</v>
      </c>
    </row>
    <row r="11" spans="1:9">
      <c r="B11" s="5" t="s">
        <v>25</v>
      </c>
      <c r="C11" s="78" t="s">
        <v>26</v>
      </c>
      <c r="D11" s="79">
        <v>35930810</v>
      </c>
      <c r="E11" s="138" t="s">
        <v>27</v>
      </c>
      <c r="F11" s="78" t="s">
        <v>28</v>
      </c>
      <c r="G11" s="79">
        <v>108078366</v>
      </c>
    </row>
    <row r="12" spans="1:9">
      <c r="B12" s="5" t="s">
        <v>29</v>
      </c>
      <c r="C12" s="78" t="s">
        <v>30</v>
      </c>
      <c r="D12" s="79">
        <v>19936464</v>
      </c>
      <c r="E12" s="138" t="s">
        <v>31</v>
      </c>
      <c r="F12" s="78" t="s">
        <v>32</v>
      </c>
      <c r="G12" s="79">
        <v>8482623</v>
      </c>
    </row>
    <row r="13" spans="1:9">
      <c r="B13" s="5" t="s">
        <v>33</v>
      </c>
      <c r="C13" s="78" t="s">
        <v>34</v>
      </c>
      <c r="D13" s="79">
        <v>5196552</v>
      </c>
      <c r="E13" s="138" t="s">
        <v>35</v>
      </c>
      <c r="F13" s="78" t="s">
        <v>36</v>
      </c>
      <c r="G13" s="79">
        <v>30318330</v>
      </c>
    </row>
    <row r="14" spans="1:9">
      <c r="A14" s="14"/>
      <c r="B14" s="5" t="s">
        <v>37</v>
      </c>
      <c r="C14" s="78" t="s">
        <v>38</v>
      </c>
      <c r="D14" s="79">
        <v>0</v>
      </c>
      <c r="E14" s="138" t="s">
        <v>39</v>
      </c>
      <c r="F14" s="78" t="s">
        <v>40</v>
      </c>
      <c r="G14" s="79">
        <v>218936733</v>
      </c>
    </row>
    <row r="15" spans="1:9">
      <c r="B15" s="5" t="s">
        <v>41</v>
      </c>
      <c r="C15" s="83" t="s">
        <v>42</v>
      </c>
      <c r="D15" s="79">
        <v>11653292</v>
      </c>
      <c r="E15" s="138" t="s">
        <v>43</v>
      </c>
      <c r="F15" s="78" t="s">
        <v>44</v>
      </c>
      <c r="G15" s="79">
        <v>97385675</v>
      </c>
    </row>
    <row r="16" spans="1:9">
      <c r="B16" s="5" t="s">
        <v>45</v>
      </c>
      <c r="C16" s="78" t="s">
        <v>46</v>
      </c>
      <c r="D16" s="79">
        <v>0</v>
      </c>
      <c r="E16" s="138" t="s">
        <v>47</v>
      </c>
      <c r="F16" s="78" t="s">
        <v>48</v>
      </c>
      <c r="G16" s="79">
        <v>104260587</v>
      </c>
    </row>
    <row r="17" spans="1:7">
      <c r="B17" s="5" t="s">
        <v>49</v>
      </c>
      <c r="C17" s="78" t="s">
        <v>50</v>
      </c>
      <c r="D17" s="79">
        <v>0</v>
      </c>
      <c r="E17" s="138" t="s">
        <v>51</v>
      </c>
      <c r="F17" s="78" t="s">
        <v>52</v>
      </c>
      <c r="G17" s="79">
        <v>0</v>
      </c>
    </row>
    <row r="18" spans="1:7">
      <c r="A18" s="14"/>
      <c r="B18" s="5" t="s">
        <v>53</v>
      </c>
      <c r="C18" s="78" t="s">
        <v>54</v>
      </c>
      <c r="D18" s="79">
        <v>3779004</v>
      </c>
      <c r="E18" s="138" t="s">
        <v>55</v>
      </c>
      <c r="F18" s="78" t="s">
        <v>56</v>
      </c>
      <c r="G18" s="84">
        <v>26158383</v>
      </c>
    </row>
    <row r="19" spans="1:7" ht="16.5" thickBot="1">
      <c r="A19" s="14"/>
      <c r="B19" s="5" t="s">
        <v>57</v>
      </c>
      <c r="C19" s="78" t="s">
        <v>58</v>
      </c>
      <c r="D19" s="79">
        <f>48063776+126834</f>
        <v>48190610</v>
      </c>
      <c r="E19" s="138"/>
      <c r="F19" s="85" t="s">
        <v>59</v>
      </c>
      <c r="G19" s="86">
        <f>SUM(G7:G18)</f>
        <v>776113620</v>
      </c>
    </row>
    <row r="20" spans="1:7" ht="16.5" thickBot="1">
      <c r="B20" s="5"/>
      <c r="C20" s="85" t="s">
        <v>60</v>
      </c>
      <c r="D20" s="86">
        <f>SUM(D7:D19)</f>
        <v>1438262683</v>
      </c>
      <c r="E20" s="138" t="s">
        <v>61</v>
      </c>
      <c r="F20" s="80" t="s">
        <v>62</v>
      </c>
      <c r="G20" s="81">
        <v>1928287</v>
      </c>
    </row>
    <row r="21" spans="1:7">
      <c r="B21" s="5"/>
      <c r="C21" s="87" t="s">
        <v>63</v>
      </c>
      <c r="D21" s="88">
        <f>SUM(D22:D28)</f>
        <v>11628211</v>
      </c>
      <c r="E21" s="138" t="s">
        <v>64</v>
      </c>
      <c r="F21" s="78" t="s">
        <v>65</v>
      </c>
      <c r="G21" s="79">
        <v>10404951</v>
      </c>
    </row>
    <row r="22" spans="1:7">
      <c r="B22" s="5" t="s">
        <v>66</v>
      </c>
      <c r="C22" s="78" t="s">
        <v>67</v>
      </c>
      <c r="D22" s="79">
        <v>7826912</v>
      </c>
      <c r="E22" s="138" t="s">
        <v>68</v>
      </c>
      <c r="F22" s="78" t="s">
        <v>69</v>
      </c>
      <c r="G22" s="79">
        <v>4620678</v>
      </c>
    </row>
    <row r="23" spans="1:7">
      <c r="B23" s="5" t="s">
        <v>70</v>
      </c>
      <c r="C23" s="78" t="s">
        <v>71</v>
      </c>
      <c r="D23" s="79">
        <v>289328</v>
      </c>
      <c r="E23" s="138" t="s">
        <v>72</v>
      </c>
      <c r="F23" s="78" t="s">
        <v>73</v>
      </c>
      <c r="G23" s="79">
        <v>17752407</v>
      </c>
    </row>
    <row r="24" spans="1:7">
      <c r="B24" s="5" t="s">
        <v>74</v>
      </c>
      <c r="C24" s="78" t="s">
        <v>75</v>
      </c>
      <c r="D24" s="79">
        <v>2313438</v>
      </c>
      <c r="E24" s="138" t="s">
        <v>76</v>
      </c>
      <c r="F24" s="78" t="s">
        <v>77</v>
      </c>
      <c r="G24" s="79">
        <v>7127517</v>
      </c>
    </row>
    <row r="25" spans="1:7">
      <c r="B25" s="5" t="s">
        <v>78</v>
      </c>
      <c r="C25" s="78" t="s">
        <v>79</v>
      </c>
      <c r="D25" s="79">
        <v>587845</v>
      </c>
      <c r="E25" s="138" t="s">
        <v>80</v>
      </c>
      <c r="F25" s="78" t="s">
        <v>81</v>
      </c>
      <c r="G25" s="79">
        <v>7174335</v>
      </c>
    </row>
    <row r="26" spans="1:7">
      <c r="B26" s="5" t="s">
        <v>82</v>
      </c>
      <c r="C26" s="78" t="s">
        <v>83</v>
      </c>
      <c r="D26" s="79">
        <v>81275</v>
      </c>
      <c r="E26" s="138" t="s">
        <v>84</v>
      </c>
      <c r="F26" s="78" t="s">
        <v>85</v>
      </c>
      <c r="G26" s="84">
        <v>1740229</v>
      </c>
    </row>
    <row r="27" spans="1:7" ht="13.5" customHeight="1" thickBot="1">
      <c r="B27" s="5" t="s">
        <v>86</v>
      </c>
      <c r="C27" s="78" t="s">
        <v>87</v>
      </c>
      <c r="D27" s="79">
        <v>368798</v>
      </c>
      <c r="E27" s="138"/>
      <c r="F27" s="85" t="s">
        <v>88</v>
      </c>
      <c r="G27" s="86">
        <f>SUM(G20:G26)</f>
        <v>50748404</v>
      </c>
    </row>
    <row r="28" spans="1:7">
      <c r="B28" s="5" t="s">
        <v>89</v>
      </c>
      <c r="C28" s="78" t="s">
        <v>90</v>
      </c>
      <c r="D28" s="79">
        <v>160615</v>
      </c>
      <c r="E28" s="138" t="s">
        <v>91</v>
      </c>
      <c r="F28" s="80" t="s">
        <v>92</v>
      </c>
      <c r="G28" s="81">
        <v>155921296</v>
      </c>
    </row>
    <row r="29" spans="1:7">
      <c r="B29" s="5"/>
      <c r="C29" s="89" t="s">
        <v>93</v>
      </c>
      <c r="D29" s="88">
        <f>SUM(D30:D34)</f>
        <v>137571910</v>
      </c>
      <c r="E29" s="138" t="s">
        <v>94</v>
      </c>
      <c r="F29" s="78" t="s">
        <v>95</v>
      </c>
      <c r="G29" s="79">
        <v>0</v>
      </c>
    </row>
    <row r="30" spans="1:7">
      <c r="B30" s="5" t="s">
        <v>96</v>
      </c>
      <c r="C30" s="78" t="s">
        <v>97</v>
      </c>
      <c r="D30" s="79">
        <v>107564805</v>
      </c>
      <c r="E30" s="138" t="s">
        <v>98</v>
      </c>
      <c r="F30" s="78" t="s">
        <v>99</v>
      </c>
      <c r="G30" s="79">
        <v>1935918</v>
      </c>
    </row>
    <row r="31" spans="1:7">
      <c r="B31" s="5" t="s">
        <v>100</v>
      </c>
      <c r="C31" s="78" t="s">
        <v>101</v>
      </c>
      <c r="D31" s="79">
        <v>11552129</v>
      </c>
      <c r="E31" s="138" t="s">
        <v>102</v>
      </c>
      <c r="F31" s="78" t="s">
        <v>103</v>
      </c>
      <c r="G31" s="84">
        <v>5444387</v>
      </c>
    </row>
    <row r="32" spans="1:7" ht="16.5" thickBot="1">
      <c r="B32" s="5" t="s">
        <v>104</v>
      </c>
      <c r="C32" s="78" t="s">
        <v>105</v>
      </c>
      <c r="D32" s="79">
        <v>13637808</v>
      </c>
      <c r="E32" s="138"/>
      <c r="F32" s="85" t="s">
        <v>106</v>
      </c>
      <c r="G32" s="86">
        <f>SUM(G28:G31)</f>
        <v>163301601</v>
      </c>
    </row>
    <row r="33" spans="2:7">
      <c r="B33" s="5" t="s">
        <v>107</v>
      </c>
      <c r="C33" s="78" t="s">
        <v>108</v>
      </c>
      <c r="D33" s="79">
        <v>321877</v>
      </c>
      <c r="E33" s="138"/>
      <c r="F33" s="89" t="s">
        <v>109</v>
      </c>
      <c r="G33" s="88">
        <f>SUM(G34:G39)</f>
        <v>96942801</v>
      </c>
    </row>
    <row r="34" spans="2:7">
      <c r="B34" s="5" t="s">
        <v>110</v>
      </c>
      <c r="C34" s="78" t="s">
        <v>111</v>
      </c>
      <c r="D34" s="79">
        <v>4495291</v>
      </c>
      <c r="E34" s="138" t="s">
        <v>112</v>
      </c>
      <c r="F34" s="78" t="s">
        <v>113</v>
      </c>
      <c r="G34" s="79">
        <v>4861553</v>
      </c>
    </row>
    <row r="35" spans="2:7" ht="16.5" thickBot="1">
      <c r="B35" s="5"/>
      <c r="C35" s="85" t="s">
        <v>114</v>
      </c>
      <c r="D35" s="86">
        <f>+D21+D29</f>
        <v>149200121</v>
      </c>
      <c r="E35" s="138" t="s">
        <v>115</v>
      </c>
      <c r="F35" s="78" t="s">
        <v>116</v>
      </c>
      <c r="G35" s="79">
        <v>1820077</v>
      </c>
    </row>
    <row r="36" spans="2:7">
      <c r="B36" s="5" t="s">
        <v>117</v>
      </c>
      <c r="C36" s="78" t="s">
        <v>118</v>
      </c>
      <c r="D36" s="79">
        <v>0</v>
      </c>
      <c r="E36" s="138" t="s">
        <v>119</v>
      </c>
      <c r="F36" s="78" t="s">
        <v>517</v>
      </c>
      <c r="G36" s="79">
        <v>3672388</v>
      </c>
    </row>
    <row r="37" spans="2:7">
      <c r="B37" s="5" t="s">
        <v>120</v>
      </c>
      <c r="C37" s="78" t="s">
        <v>121</v>
      </c>
      <c r="D37" s="79">
        <v>22418567</v>
      </c>
      <c r="E37" s="138" t="s">
        <v>122</v>
      </c>
      <c r="F37" s="78" t="s">
        <v>123</v>
      </c>
      <c r="G37" s="79">
        <v>9223642</v>
      </c>
    </row>
    <row r="38" spans="2:7">
      <c r="B38" s="5" t="s">
        <v>124</v>
      </c>
      <c r="C38" s="78" t="s">
        <v>125</v>
      </c>
      <c r="D38" s="79">
        <v>0</v>
      </c>
      <c r="E38" s="138" t="s">
        <v>126</v>
      </c>
      <c r="F38" s="78" t="s">
        <v>127</v>
      </c>
      <c r="G38" s="79">
        <v>19949573</v>
      </c>
    </row>
    <row r="39" spans="2:7">
      <c r="B39" s="5" t="s">
        <v>128</v>
      </c>
      <c r="C39" s="78" t="s">
        <v>129</v>
      </c>
      <c r="D39" s="79">
        <v>0</v>
      </c>
      <c r="E39" s="138" t="s">
        <v>130</v>
      </c>
      <c r="F39" s="78" t="s">
        <v>131</v>
      </c>
      <c r="G39" s="79">
        <v>57415568</v>
      </c>
    </row>
    <row r="40" spans="2:7">
      <c r="B40" s="5" t="s">
        <v>132</v>
      </c>
      <c r="C40" s="78" t="s">
        <v>133</v>
      </c>
      <c r="D40" s="79">
        <v>4577228</v>
      </c>
      <c r="E40" s="138"/>
      <c r="F40" s="90" t="s">
        <v>134</v>
      </c>
      <c r="G40" s="91">
        <f>SUM(G41:G46)</f>
        <v>25207188</v>
      </c>
    </row>
    <row r="41" spans="2:7">
      <c r="B41" s="5" t="s">
        <v>135</v>
      </c>
      <c r="C41" s="78" t="s">
        <v>136</v>
      </c>
      <c r="D41" s="79">
        <v>0</v>
      </c>
      <c r="E41" s="138" t="s">
        <v>137</v>
      </c>
      <c r="F41" s="78" t="s">
        <v>138</v>
      </c>
      <c r="G41" s="79">
        <v>4029133</v>
      </c>
    </row>
    <row r="42" spans="2:7">
      <c r="B42" s="5" t="s">
        <v>139</v>
      </c>
      <c r="C42" s="78" t="s">
        <v>140</v>
      </c>
      <c r="D42" s="79">
        <f>10204241+3943790+16347590</f>
        <v>30495621</v>
      </c>
      <c r="E42" s="138" t="s">
        <v>141</v>
      </c>
      <c r="F42" s="78" t="s">
        <v>142</v>
      </c>
      <c r="G42" s="79">
        <v>33262</v>
      </c>
    </row>
    <row r="43" spans="2:7">
      <c r="B43" s="5" t="s">
        <v>143</v>
      </c>
      <c r="C43" s="78" t="s">
        <v>144</v>
      </c>
      <c r="D43" s="79">
        <v>0</v>
      </c>
      <c r="E43" s="138" t="s">
        <v>145</v>
      </c>
      <c r="F43" s="78" t="s">
        <v>146</v>
      </c>
      <c r="G43" s="79">
        <v>3034101</v>
      </c>
    </row>
    <row r="44" spans="2:7">
      <c r="B44" s="5" t="s">
        <v>147</v>
      </c>
      <c r="C44" s="78" t="s">
        <v>148</v>
      </c>
      <c r="D44" s="79">
        <v>0</v>
      </c>
      <c r="E44" s="138" t="s">
        <v>149</v>
      </c>
      <c r="F44" s="78" t="s">
        <v>150</v>
      </c>
      <c r="G44" s="79">
        <v>606223</v>
      </c>
    </row>
    <row r="45" spans="2:7">
      <c r="B45" s="5" t="s">
        <v>151</v>
      </c>
      <c r="C45" s="78" t="s">
        <v>152</v>
      </c>
      <c r="D45" s="79">
        <v>2198470</v>
      </c>
      <c r="E45" s="138" t="s">
        <v>153</v>
      </c>
      <c r="F45" s="78" t="s">
        <v>154</v>
      </c>
      <c r="G45" s="79">
        <v>2035040</v>
      </c>
    </row>
    <row r="46" spans="2:7">
      <c r="B46" s="5" t="s">
        <v>155</v>
      </c>
      <c r="C46" s="78" t="s">
        <v>156</v>
      </c>
      <c r="D46" s="79">
        <v>1931177</v>
      </c>
      <c r="E46" s="138" t="s">
        <v>157</v>
      </c>
      <c r="F46" s="78" t="s">
        <v>158</v>
      </c>
      <c r="G46" s="79">
        <v>15469429</v>
      </c>
    </row>
    <row r="47" spans="2:7" ht="16.5" thickBot="1">
      <c r="B47" s="5"/>
      <c r="C47" s="85" t="s">
        <v>159</v>
      </c>
      <c r="D47" s="86">
        <f>SUM(D36:D46)</f>
        <v>61621063</v>
      </c>
      <c r="E47" s="138" t="s">
        <v>160</v>
      </c>
      <c r="F47" s="78" t="s">
        <v>161</v>
      </c>
      <c r="G47" s="79">
        <v>4052483</v>
      </c>
    </row>
    <row r="48" spans="2:7" ht="16.5" thickBot="1">
      <c r="B48" s="5"/>
      <c r="C48" s="92" t="s">
        <v>162</v>
      </c>
      <c r="D48" s="93"/>
      <c r="E48" s="138"/>
      <c r="F48" s="85" t="s">
        <v>163</v>
      </c>
      <c r="G48" s="94">
        <f>+G33+G40+G47</f>
        <v>126202472</v>
      </c>
    </row>
    <row r="49" spans="2:7">
      <c r="B49" s="5" t="s">
        <v>164</v>
      </c>
      <c r="C49" s="95" t="s">
        <v>165</v>
      </c>
      <c r="D49" s="96">
        <v>0</v>
      </c>
      <c r="E49" s="138" t="s">
        <v>166</v>
      </c>
      <c r="F49" s="80" t="s">
        <v>167</v>
      </c>
      <c r="G49" s="81">
        <v>19971245</v>
      </c>
    </row>
    <row r="50" spans="2:7">
      <c r="B50" s="5" t="s">
        <v>168</v>
      </c>
      <c r="C50" s="78" t="s">
        <v>162</v>
      </c>
      <c r="D50" s="79">
        <f>79697+1236409</f>
        <v>1316106</v>
      </c>
      <c r="E50" s="138" t="s">
        <v>169</v>
      </c>
      <c r="F50" s="78" t="s">
        <v>170</v>
      </c>
      <c r="G50" s="79">
        <v>59866577</v>
      </c>
    </row>
    <row r="51" spans="2:7">
      <c r="B51" s="5" t="s">
        <v>171</v>
      </c>
      <c r="C51" s="78" t="s">
        <v>172</v>
      </c>
      <c r="D51" s="84">
        <v>11553</v>
      </c>
      <c r="E51" s="138" t="s">
        <v>173</v>
      </c>
      <c r="F51" s="78" t="s">
        <v>174</v>
      </c>
      <c r="G51" s="79">
        <v>1853539</v>
      </c>
    </row>
    <row r="52" spans="2:7" ht="16.5" thickBot="1">
      <c r="B52" s="11"/>
      <c r="C52" s="85" t="s">
        <v>175</v>
      </c>
      <c r="D52" s="86">
        <f>SUM(D49:D51)</f>
        <v>1327659</v>
      </c>
      <c r="E52" s="138" t="s">
        <v>176</v>
      </c>
      <c r="F52" s="78" t="s">
        <v>177</v>
      </c>
      <c r="G52" s="79">
        <v>9286520</v>
      </c>
    </row>
    <row r="53" spans="2:7" ht="16.5" thickBot="1">
      <c r="B53" s="5"/>
      <c r="C53" s="75" t="s">
        <v>178</v>
      </c>
      <c r="D53" s="97">
        <f>D20+D35+D47+D52</f>
        <v>1650411526</v>
      </c>
      <c r="E53" s="138" t="s">
        <v>179</v>
      </c>
      <c r="F53" s="78" t="s">
        <v>180</v>
      </c>
      <c r="G53" s="79">
        <v>10357060</v>
      </c>
    </row>
    <row r="54" spans="2:7">
      <c r="C54" s="98"/>
      <c r="D54" s="99"/>
      <c r="E54" s="138" t="s">
        <v>181</v>
      </c>
      <c r="F54" s="78" t="s">
        <v>182</v>
      </c>
      <c r="G54" s="79">
        <v>15627288</v>
      </c>
    </row>
    <row r="55" spans="2:7">
      <c r="C55" s="100" t="s">
        <v>183</v>
      </c>
      <c r="D55" s="101"/>
      <c r="E55" s="138" t="s">
        <v>184</v>
      </c>
      <c r="F55" s="78" t="s">
        <v>185</v>
      </c>
      <c r="G55" s="79">
        <v>5726225</v>
      </c>
    </row>
    <row r="56" spans="2:7">
      <c r="B56" s="5" t="s">
        <v>186</v>
      </c>
      <c r="C56" s="102" t="s">
        <v>187</v>
      </c>
      <c r="D56" s="79"/>
      <c r="E56" s="138" t="s">
        <v>188</v>
      </c>
      <c r="F56" s="78" t="s">
        <v>189</v>
      </c>
      <c r="G56" s="84">
        <v>4112786</v>
      </c>
    </row>
    <row r="57" spans="2:7" ht="14.25" customHeight="1" thickBot="1">
      <c r="B57" s="5" t="s">
        <v>190</v>
      </c>
      <c r="C57" s="102" t="s">
        <v>191</v>
      </c>
      <c r="D57" s="79"/>
      <c r="E57" s="138"/>
      <c r="F57" s="85" t="s">
        <v>192</v>
      </c>
      <c r="G57" s="86">
        <f>SUM(G49:G56)</f>
        <v>126801240</v>
      </c>
    </row>
    <row r="58" spans="2:7">
      <c r="B58" s="5" t="s">
        <v>193</v>
      </c>
      <c r="C58" s="102" t="s">
        <v>194</v>
      </c>
      <c r="D58" s="79"/>
      <c r="E58" s="138" t="s">
        <v>195</v>
      </c>
      <c r="F58" s="80" t="s">
        <v>196</v>
      </c>
      <c r="G58" s="81">
        <v>35652077</v>
      </c>
    </row>
    <row r="59" spans="2:7">
      <c r="B59" s="5" t="s">
        <v>197</v>
      </c>
      <c r="C59" s="78" t="s">
        <v>198</v>
      </c>
      <c r="D59" s="84"/>
      <c r="E59" s="138" t="s">
        <v>199</v>
      </c>
      <c r="F59" s="78" t="s">
        <v>200</v>
      </c>
      <c r="G59" s="79">
        <v>4129570</v>
      </c>
    </row>
    <row r="60" spans="2:7" ht="16.5" thickBot="1">
      <c r="B60" s="5"/>
      <c r="C60" s="85" t="s">
        <v>201</v>
      </c>
      <c r="D60" s="86">
        <f>SUM(D56:D59)</f>
        <v>0</v>
      </c>
      <c r="E60" s="138" t="s">
        <v>202</v>
      </c>
      <c r="F60" s="78" t="s">
        <v>203</v>
      </c>
      <c r="G60" s="79">
        <v>772341</v>
      </c>
    </row>
    <row r="61" spans="2:7" ht="16.5" thickBot="1">
      <c r="B61" s="15"/>
      <c r="C61" s="72" t="s">
        <v>204</v>
      </c>
      <c r="D61" s="103">
        <f>D53+D60</f>
        <v>1650411526</v>
      </c>
      <c r="E61" s="138" t="s">
        <v>205</v>
      </c>
      <c r="F61" s="78" t="s">
        <v>206</v>
      </c>
      <c r="G61" s="79">
        <v>11523040</v>
      </c>
    </row>
    <row r="62" spans="2:7">
      <c r="B62" s="16"/>
      <c r="C62" s="116"/>
      <c r="D62" s="116"/>
      <c r="E62" s="138" t="s">
        <v>207</v>
      </c>
      <c r="F62" s="78" t="s">
        <v>208</v>
      </c>
      <c r="G62" s="79">
        <v>0</v>
      </c>
    </row>
    <row r="63" spans="2:7">
      <c r="B63" s="17"/>
      <c r="C63" s="222" t="s">
        <v>8</v>
      </c>
      <c r="D63" s="222"/>
      <c r="E63" s="138" t="s">
        <v>209</v>
      </c>
      <c r="F63" s="78" t="s">
        <v>210</v>
      </c>
      <c r="G63" s="79">
        <v>15949413</v>
      </c>
    </row>
    <row r="64" spans="2:7">
      <c r="B64" s="18" t="s">
        <v>211</v>
      </c>
      <c r="C64" s="223" t="s">
        <v>212</v>
      </c>
      <c r="D64" s="223">
        <f>[15]Amortizaciones!D6</f>
        <v>18444465</v>
      </c>
      <c r="E64" s="138" t="s">
        <v>213</v>
      </c>
      <c r="F64" s="78" t="s">
        <v>214</v>
      </c>
      <c r="G64" s="79">
        <v>9688875</v>
      </c>
    </row>
    <row r="65" spans="2:7">
      <c r="B65" s="18" t="s">
        <v>215</v>
      </c>
      <c r="C65" s="223" t="s">
        <v>216</v>
      </c>
      <c r="D65" s="223">
        <f>[15]Amortizaciones!D7</f>
        <v>0</v>
      </c>
      <c r="E65" s="138" t="s">
        <v>217</v>
      </c>
      <c r="F65" s="78" t="s">
        <v>218</v>
      </c>
      <c r="G65" s="79">
        <v>3327019</v>
      </c>
    </row>
    <row r="66" spans="2:7">
      <c r="B66" s="18" t="s">
        <v>219</v>
      </c>
      <c r="C66" s="223" t="s">
        <v>220</v>
      </c>
      <c r="D66" s="223">
        <f>[15]Amortizaciones!D8</f>
        <v>6459346</v>
      </c>
      <c r="E66" s="138" t="s">
        <v>221</v>
      </c>
      <c r="F66" s="78" t="s">
        <v>222</v>
      </c>
      <c r="G66" s="79">
        <v>7413773</v>
      </c>
    </row>
    <row r="67" spans="2:7">
      <c r="B67" s="18" t="s">
        <v>223</v>
      </c>
      <c r="C67" s="223" t="s">
        <v>224</v>
      </c>
      <c r="D67" s="223">
        <f>[15]Amortizaciones!D9</f>
        <v>0</v>
      </c>
      <c r="E67" s="138" t="s">
        <v>225</v>
      </c>
      <c r="F67" s="78" t="s">
        <v>226</v>
      </c>
      <c r="G67" s="79">
        <v>579615</v>
      </c>
    </row>
    <row r="68" spans="2:7">
      <c r="B68" s="18" t="s">
        <v>227</v>
      </c>
      <c r="C68" s="223" t="s">
        <v>228</v>
      </c>
      <c r="D68" s="223">
        <f>[15]Amortizaciones!D10</f>
        <v>246214</v>
      </c>
      <c r="E68" s="138" t="s">
        <v>229</v>
      </c>
      <c r="F68" s="78" t="s">
        <v>230</v>
      </c>
      <c r="G68" s="79">
        <v>0</v>
      </c>
    </row>
    <row r="69" spans="2:7">
      <c r="B69" s="18" t="s">
        <v>231</v>
      </c>
      <c r="C69" s="223" t="s">
        <v>232</v>
      </c>
      <c r="D69" s="223">
        <f>[15]Amortizaciones!D11</f>
        <v>41728</v>
      </c>
      <c r="E69" s="138" t="s">
        <v>233</v>
      </c>
      <c r="F69" s="78" t="s">
        <v>234</v>
      </c>
      <c r="G69" s="79">
        <v>927204</v>
      </c>
    </row>
    <row r="70" spans="2:7">
      <c r="B70" s="18" t="s">
        <v>235</v>
      </c>
      <c r="C70" s="223" t="s">
        <v>236</v>
      </c>
      <c r="D70" s="223">
        <f>[15]Amortizaciones!D12</f>
        <v>1746769</v>
      </c>
      <c r="E70" s="138" t="s">
        <v>237</v>
      </c>
      <c r="F70" s="78" t="s">
        <v>238</v>
      </c>
      <c r="G70" s="79">
        <v>1710992</v>
      </c>
    </row>
    <row r="71" spans="2:7">
      <c r="B71" s="18" t="s">
        <v>239</v>
      </c>
      <c r="C71" s="223" t="s">
        <v>240</v>
      </c>
      <c r="D71" s="223">
        <f>[15]Amortizaciones!D13</f>
        <v>1116794</v>
      </c>
      <c r="E71" s="138" t="s">
        <v>241</v>
      </c>
      <c r="F71" s="78" t="s">
        <v>242</v>
      </c>
      <c r="G71" s="79">
        <v>0</v>
      </c>
    </row>
    <row r="72" spans="2:7">
      <c r="B72" s="18" t="s">
        <v>243</v>
      </c>
      <c r="C72" s="223" t="s">
        <v>244</v>
      </c>
      <c r="D72" s="223">
        <f>[15]Amortizaciones!D14</f>
        <v>1741523</v>
      </c>
      <c r="E72" s="138" t="s">
        <v>245</v>
      </c>
      <c r="F72" s="78" t="s">
        <v>246</v>
      </c>
      <c r="G72" s="79">
        <v>9402222</v>
      </c>
    </row>
    <row r="73" spans="2:7">
      <c r="B73" s="18" t="s">
        <v>247</v>
      </c>
      <c r="C73" s="223" t="s">
        <v>248</v>
      </c>
      <c r="D73" s="223">
        <f>[15]Amortizaciones!D15</f>
        <v>0</v>
      </c>
      <c r="E73" s="138" t="s">
        <v>249</v>
      </c>
      <c r="F73" s="78" t="s">
        <v>250</v>
      </c>
      <c r="G73" s="79">
        <v>354339</v>
      </c>
    </row>
    <row r="74" spans="2:7">
      <c r="B74" s="18" t="s">
        <v>251</v>
      </c>
      <c r="C74" s="223" t="s">
        <v>252</v>
      </c>
      <c r="D74" s="223">
        <f>[15]Amortizaciones!D16</f>
        <v>2254972</v>
      </c>
      <c r="E74" s="138" t="s">
        <v>253</v>
      </c>
      <c r="F74" s="78" t="s">
        <v>254</v>
      </c>
      <c r="G74" s="79">
        <v>0</v>
      </c>
    </row>
    <row r="75" spans="2:7">
      <c r="B75" s="18" t="s">
        <v>255</v>
      </c>
      <c r="C75" s="223" t="s">
        <v>256</v>
      </c>
      <c r="D75" s="223">
        <f>[15]Amortizaciones!D17</f>
        <v>0</v>
      </c>
      <c r="E75" s="138" t="s">
        <v>257</v>
      </c>
      <c r="F75" s="78" t="s">
        <v>258</v>
      </c>
      <c r="G75" s="79">
        <v>8012283</v>
      </c>
    </row>
    <row r="76" spans="2:7">
      <c r="B76" s="18" t="s">
        <v>259</v>
      </c>
      <c r="C76" s="223" t="s">
        <v>260</v>
      </c>
      <c r="D76" s="223">
        <f>[15]Amortizaciones!D18</f>
        <v>0</v>
      </c>
      <c r="E76" s="138" t="s">
        <v>261</v>
      </c>
      <c r="F76" s="78" t="s">
        <v>262</v>
      </c>
      <c r="G76" s="79">
        <v>20058612</v>
      </c>
    </row>
    <row r="77" spans="2:7">
      <c r="B77" s="18" t="s">
        <v>263</v>
      </c>
      <c r="C77" s="223" t="s">
        <v>264</v>
      </c>
      <c r="D77" s="223">
        <f>SUM(D64:D76)</f>
        <v>32051811</v>
      </c>
      <c r="E77" s="138" t="s">
        <v>265</v>
      </c>
      <c r="F77" s="78" t="s">
        <v>266</v>
      </c>
      <c r="G77" s="79">
        <v>70127745</v>
      </c>
    </row>
    <row r="78" spans="2:7">
      <c r="B78" s="18"/>
      <c r="C78" s="223"/>
      <c r="D78" s="223"/>
      <c r="E78" s="138" t="s">
        <v>267</v>
      </c>
      <c r="F78" s="78" t="s">
        <v>268</v>
      </c>
      <c r="G78" s="84">
        <v>6602084</v>
      </c>
    </row>
    <row r="79" spans="2:7" ht="16.5" thickBot="1">
      <c r="B79" s="18"/>
      <c r="C79" s="222" t="s">
        <v>269</v>
      </c>
      <c r="D79" s="224"/>
      <c r="E79" s="138"/>
      <c r="F79" s="85" t="s">
        <v>270</v>
      </c>
      <c r="G79" s="86">
        <f>SUM(G58:G78)</f>
        <v>206231204</v>
      </c>
    </row>
    <row r="80" spans="2:7">
      <c r="B80" s="18" t="s">
        <v>271</v>
      </c>
      <c r="C80" s="223" t="s">
        <v>236</v>
      </c>
      <c r="D80" s="223">
        <f>[15]Amortizaciones!D22</f>
        <v>0</v>
      </c>
      <c r="E80" s="138" t="s">
        <v>272</v>
      </c>
      <c r="F80" s="80" t="s">
        <v>273</v>
      </c>
      <c r="G80" s="81">
        <v>12480349</v>
      </c>
    </row>
    <row r="81" spans="2:7">
      <c r="B81" s="18" t="s">
        <v>274</v>
      </c>
      <c r="C81" s="223" t="s">
        <v>240</v>
      </c>
      <c r="D81" s="223">
        <f>[15]Amortizaciones!D23</f>
        <v>0</v>
      </c>
      <c r="E81" s="138" t="s">
        <v>275</v>
      </c>
      <c r="F81" s="78" t="s">
        <v>276</v>
      </c>
      <c r="G81" s="79">
        <v>7458970</v>
      </c>
    </row>
    <row r="82" spans="2:7">
      <c r="B82" s="18" t="s">
        <v>277</v>
      </c>
      <c r="C82" s="223" t="s">
        <v>244</v>
      </c>
      <c r="D82" s="223">
        <f>[15]Amortizaciones!D24</f>
        <v>0</v>
      </c>
      <c r="E82" s="138" t="s">
        <v>278</v>
      </c>
      <c r="F82" s="78" t="s">
        <v>279</v>
      </c>
      <c r="G82" s="79">
        <v>4176449</v>
      </c>
    </row>
    <row r="83" spans="2:7">
      <c r="B83" s="18" t="s">
        <v>280</v>
      </c>
      <c r="C83" s="223" t="s">
        <v>248</v>
      </c>
      <c r="D83" s="223">
        <f>[15]Amortizaciones!D25</f>
        <v>0</v>
      </c>
      <c r="E83" s="138" t="s">
        <v>281</v>
      </c>
      <c r="F83" s="78" t="s">
        <v>282</v>
      </c>
      <c r="G83" s="79">
        <v>2896853</v>
      </c>
    </row>
    <row r="84" spans="2:7">
      <c r="B84" s="18" t="s">
        <v>283</v>
      </c>
      <c r="C84" s="223" t="s">
        <v>284</v>
      </c>
      <c r="D84" s="223">
        <v>0</v>
      </c>
      <c r="E84" s="138" t="s">
        <v>285</v>
      </c>
      <c r="F84" s="78" t="s">
        <v>286</v>
      </c>
      <c r="G84" s="79">
        <v>7815465</v>
      </c>
    </row>
    <row r="85" spans="2:7">
      <c r="B85" s="18" t="s">
        <v>287</v>
      </c>
      <c r="C85" s="223" t="s">
        <v>288</v>
      </c>
      <c r="D85" s="223">
        <f>[15]Amortizaciones!D27</f>
        <v>0</v>
      </c>
      <c r="E85" s="138" t="s">
        <v>289</v>
      </c>
      <c r="F85" s="78" t="s">
        <v>290</v>
      </c>
      <c r="G85" s="79">
        <v>7940320</v>
      </c>
    </row>
    <row r="86" spans="2:7" ht="13.5" customHeight="1">
      <c r="B86" s="18" t="s">
        <v>291</v>
      </c>
      <c r="C86" s="223" t="s">
        <v>292</v>
      </c>
      <c r="D86" s="223">
        <f>[15]Amortizaciones!D28</f>
        <v>0</v>
      </c>
      <c r="E86" s="138" t="s">
        <v>293</v>
      </c>
      <c r="F86" s="78" t="s">
        <v>294</v>
      </c>
      <c r="G86" s="79">
        <v>170390</v>
      </c>
    </row>
    <row r="87" spans="2:7" ht="13.5" customHeight="1">
      <c r="B87" s="18" t="s">
        <v>295</v>
      </c>
      <c r="C87" s="223" t="s">
        <v>296</v>
      </c>
      <c r="D87" s="223">
        <f>[15]Amortizaciones!D29</f>
        <v>0</v>
      </c>
      <c r="E87" s="138" t="s">
        <v>297</v>
      </c>
      <c r="F87" s="78" t="s">
        <v>298</v>
      </c>
      <c r="G87" s="79">
        <v>2103406</v>
      </c>
    </row>
    <row r="88" spans="2:7" ht="13.5" customHeight="1">
      <c r="B88" s="18" t="s">
        <v>299</v>
      </c>
      <c r="C88" s="223" t="s">
        <v>300</v>
      </c>
      <c r="D88" s="223">
        <f>[15]Amortizaciones!D30</f>
        <v>0</v>
      </c>
      <c r="E88" s="138" t="s">
        <v>301</v>
      </c>
      <c r="F88" s="78" t="s">
        <v>302</v>
      </c>
      <c r="G88" s="79">
        <v>1836959</v>
      </c>
    </row>
    <row r="89" spans="2:7">
      <c r="B89" s="18" t="s">
        <v>303</v>
      </c>
      <c r="C89" s="223" t="s">
        <v>212</v>
      </c>
      <c r="D89" s="223">
        <f>[15]Amortizaciones!D31</f>
        <v>0</v>
      </c>
      <c r="E89" s="138" t="s">
        <v>304</v>
      </c>
      <c r="F89" s="78" t="s">
        <v>305</v>
      </c>
      <c r="G89" s="79">
        <v>22940445</v>
      </c>
    </row>
    <row r="90" spans="2:7" ht="14.25" customHeight="1">
      <c r="B90" s="18" t="s">
        <v>306</v>
      </c>
      <c r="C90" s="223" t="s">
        <v>228</v>
      </c>
      <c r="D90" s="223">
        <f>[15]Amortizaciones!D32</f>
        <v>0</v>
      </c>
      <c r="E90" s="138" t="s">
        <v>307</v>
      </c>
      <c r="F90" s="78" t="s">
        <v>308</v>
      </c>
      <c r="G90" s="79">
        <v>0</v>
      </c>
    </row>
    <row r="91" spans="2:7" ht="14.25" customHeight="1">
      <c r="B91" s="18" t="s">
        <v>309</v>
      </c>
      <c r="C91" s="223" t="s">
        <v>310</v>
      </c>
      <c r="D91" s="223">
        <f>SUM(D80:D90)</f>
        <v>0</v>
      </c>
      <c r="E91" s="225" t="s">
        <v>311</v>
      </c>
      <c r="F91" s="78" t="s">
        <v>312</v>
      </c>
      <c r="G91" s="79">
        <v>0</v>
      </c>
    </row>
    <row r="92" spans="2:7" ht="14.25" customHeight="1">
      <c r="B92" s="18"/>
      <c r="C92" s="226" t="s">
        <v>313</v>
      </c>
      <c r="D92" s="223">
        <f>D77+D91</f>
        <v>32051811</v>
      </c>
      <c r="E92" s="225" t="s">
        <v>314</v>
      </c>
      <c r="F92" s="78" t="s">
        <v>315</v>
      </c>
      <c r="G92" s="79">
        <v>0</v>
      </c>
    </row>
    <row r="93" spans="2:7">
      <c r="C93" s="116"/>
      <c r="D93" s="116"/>
      <c r="E93" s="225" t="s">
        <v>316</v>
      </c>
      <c r="F93" s="78" t="s">
        <v>317</v>
      </c>
      <c r="G93" s="79">
        <f>1398315+4484947+4615891+84965</f>
        <v>10584118</v>
      </c>
    </row>
    <row r="94" spans="2:7">
      <c r="C94" s="116"/>
      <c r="D94" s="116"/>
      <c r="E94" s="225" t="s">
        <v>318</v>
      </c>
      <c r="F94" s="78" t="s">
        <v>319</v>
      </c>
      <c r="G94" s="84">
        <v>2689390</v>
      </c>
    </row>
    <row r="95" spans="2:7" ht="13.5" customHeight="1" thickBot="1">
      <c r="C95" s="116"/>
      <c r="D95" s="116"/>
      <c r="E95" s="138"/>
      <c r="F95" s="85" t="s">
        <v>320</v>
      </c>
      <c r="G95" s="86">
        <f>SUM(G80:G94)</f>
        <v>83093114</v>
      </c>
    </row>
    <row r="96" spans="2:7">
      <c r="C96" s="116"/>
      <c r="D96" s="116"/>
      <c r="E96" s="225" t="s">
        <v>321</v>
      </c>
      <c r="F96" s="80" t="s">
        <v>322</v>
      </c>
      <c r="G96" s="81">
        <v>14094506</v>
      </c>
    </row>
    <row r="97" spans="2:7">
      <c r="C97" s="116"/>
      <c r="D97" s="116"/>
      <c r="E97" s="225" t="s">
        <v>323</v>
      </c>
      <c r="F97" s="78" t="s">
        <v>324</v>
      </c>
      <c r="G97" s="79">
        <v>10013203</v>
      </c>
    </row>
    <row r="98" spans="2:7">
      <c r="C98" s="116"/>
      <c r="D98" s="116"/>
      <c r="E98" s="225" t="s">
        <v>325</v>
      </c>
      <c r="F98" s="78" t="s">
        <v>326</v>
      </c>
      <c r="G98" s="79">
        <v>489599</v>
      </c>
    </row>
    <row r="99" spans="2:7">
      <c r="C99" s="116"/>
      <c r="D99" s="116"/>
      <c r="E99" s="225" t="s">
        <v>327</v>
      </c>
      <c r="F99" s="78" t="s">
        <v>328</v>
      </c>
      <c r="G99" s="79">
        <v>6231983</v>
      </c>
    </row>
    <row r="100" spans="2:7">
      <c r="C100" s="116"/>
      <c r="D100" s="116"/>
      <c r="E100" s="225" t="s">
        <v>329</v>
      </c>
      <c r="F100" s="78" t="s">
        <v>330</v>
      </c>
      <c r="G100" s="84">
        <v>1202031</v>
      </c>
    </row>
    <row r="101" spans="2:7" ht="12.75" customHeight="1" thickBot="1">
      <c r="C101" s="116"/>
      <c r="D101" s="116"/>
      <c r="E101" s="138"/>
      <c r="F101" s="85" t="s">
        <v>331</v>
      </c>
      <c r="G101" s="86">
        <f>SUM(G96:G100)</f>
        <v>32031322</v>
      </c>
    </row>
    <row r="102" spans="2:7" ht="12.75" customHeight="1" thickBot="1">
      <c r="C102" s="116"/>
      <c r="D102" s="116"/>
      <c r="E102" s="225"/>
      <c r="F102" s="110" t="s">
        <v>332</v>
      </c>
      <c r="G102" s="111">
        <f>[15]Amortizaciones!D19</f>
        <v>32051811</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1596574788</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53836738</v>
      </c>
    </row>
    <row r="110" spans="2:7" ht="6.75" customHeight="1" thickBot="1">
      <c r="B110" s="5"/>
      <c r="C110" s="227"/>
      <c r="D110" s="227"/>
      <c r="E110" s="138"/>
      <c r="F110" s="116"/>
      <c r="G110" s="116"/>
    </row>
    <row r="111" spans="2:7" ht="15" customHeight="1" thickBot="1">
      <c r="C111" s="72" t="s">
        <v>269</v>
      </c>
      <c r="D111" s="118">
        <f>+[15]E.S.P.!D6</f>
        <v>2021</v>
      </c>
      <c r="E111" s="225"/>
      <c r="F111" s="72" t="s">
        <v>340</v>
      </c>
      <c r="G111" s="118">
        <f>+[15]E.S.P.!D6</f>
        <v>2021</v>
      </c>
    </row>
    <row r="112" spans="2:7" ht="13.7" customHeight="1">
      <c r="B112" s="5" t="s">
        <v>341</v>
      </c>
      <c r="C112" s="119" t="s">
        <v>342</v>
      </c>
      <c r="D112" s="120">
        <v>4492716</v>
      </c>
      <c r="E112" s="138" t="s">
        <v>343</v>
      </c>
      <c r="F112" s="119" t="s">
        <v>308</v>
      </c>
      <c r="G112" s="120">
        <v>0</v>
      </c>
    </row>
    <row r="113" spans="2:7" ht="13.7" customHeight="1">
      <c r="B113" s="5" t="s">
        <v>344</v>
      </c>
      <c r="C113" s="121" t="s">
        <v>345</v>
      </c>
      <c r="D113" s="122">
        <v>62401675</v>
      </c>
      <c r="E113" s="138" t="s">
        <v>346</v>
      </c>
      <c r="F113" s="121" t="s">
        <v>347</v>
      </c>
      <c r="G113" s="122">
        <v>0</v>
      </c>
    </row>
    <row r="114" spans="2:7" ht="13.7" customHeight="1">
      <c r="B114" s="5" t="s">
        <v>348</v>
      </c>
      <c r="C114" s="121" t="s">
        <v>48</v>
      </c>
      <c r="D114" s="122">
        <v>0</v>
      </c>
      <c r="E114" s="138" t="s">
        <v>349</v>
      </c>
      <c r="F114" s="121" t="s">
        <v>350</v>
      </c>
      <c r="G114" s="122">
        <v>5525353</v>
      </c>
    </row>
    <row r="115" spans="2:7" ht="13.7" customHeight="1">
      <c r="B115" s="5" t="s">
        <v>351</v>
      </c>
      <c r="C115" s="121" t="s">
        <v>352</v>
      </c>
      <c r="D115" s="122">
        <v>193911</v>
      </c>
      <c r="E115" s="138" t="s">
        <v>353</v>
      </c>
      <c r="F115" s="121" t="s">
        <v>354</v>
      </c>
      <c r="G115" s="122">
        <v>0</v>
      </c>
    </row>
    <row r="116" spans="2:7" ht="13.7" customHeight="1">
      <c r="B116" s="5" t="s">
        <v>355</v>
      </c>
      <c r="C116" s="121" t="s">
        <v>356</v>
      </c>
      <c r="D116" s="122">
        <v>2683156</v>
      </c>
      <c r="E116" s="138" t="s">
        <v>357</v>
      </c>
      <c r="F116" s="121" t="s">
        <v>358</v>
      </c>
      <c r="G116" s="122">
        <f>2634967+13909953</f>
        <v>16544920</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639147</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2524579</v>
      </c>
      <c r="E121" s="138" t="s">
        <v>377</v>
      </c>
      <c r="F121" s="121" t="s">
        <v>378</v>
      </c>
      <c r="G121" s="122">
        <v>6353</v>
      </c>
    </row>
    <row r="122" spans="2:7" ht="13.7" customHeight="1" thickBot="1">
      <c r="B122" s="5"/>
      <c r="C122" s="85" t="s">
        <v>379</v>
      </c>
      <c r="D122" s="94">
        <f>SUM(D112:D121)</f>
        <v>72935184</v>
      </c>
      <c r="E122" s="138" t="s">
        <v>380</v>
      </c>
      <c r="F122" s="78" t="s">
        <v>381</v>
      </c>
      <c r="G122" s="79">
        <v>219070</v>
      </c>
    </row>
    <row r="123" spans="2:7" ht="13.7" customHeight="1" thickBot="1">
      <c r="B123" s="5" t="s">
        <v>382</v>
      </c>
      <c r="C123" s="123" t="s">
        <v>308</v>
      </c>
      <c r="D123" s="120">
        <v>3829897</v>
      </c>
      <c r="E123" s="225"/>
      <c r="F123" s="85" t="s">
        <v>383</v>
      </c>
      <c r="G123" s="94">
        <f>SUM(G112:G122)</f>
        <v>22295696</v>
      </c>
    </row>
    <row r="124" spans="2:7" ht="13.7" customHeight="1">
      <c r="B124" s="5" t="s">
        <v>384</v>
      </c>
      <c r="C124" s="121" t="s">
        <v>312</v>
      </c>
      <c r="D124" s="122">
        <v>1839597</v>
      </c>
      <c r="E124" s="138" t="s">
        <v>385</v>
      </c>
      <c r="F124" s="121" t="s">
        <v>386</v>
      </c>
      <c r="G124" s="122">
        <v>11050914</v>
      </c>
    </row>
    <row r="125" spans="2:7" ht="13.7" customHeight="1">
      <c r="B125" s="5" t="s">
        <v>387</v>
      </c>
      <c r="C125" s="78" t="s">
        <v>388</v>
      </c>
      <c r="D125" s="122">
        <v>191612</v>
      </c>
      <c r="E125" s="138" t="s">
        <v>389</v>
      </c>
      <c r="F125" s="121" t="s">
        <v>390</v>
      </c>
      <c r="G125" s="122">
        <v>246318</v>
      </c>
    </row>
    <row r="126" spans="2:7" ht="13.7" customHeight="1" thickBot="1">
      <c r="B126" s="5"/>
      <c r="C126" s="85" t="s">
        <v>391</v>
      </c>
      <c r="D126" s="94">
        <f>SUM(D123:D125)</f>
        <v>5861106</v>
      </c>
      <c r="E126" s="138" t="s">
        <v>392</v>
      </c>
      <c r="F126" s="121" t="s">
        <v>393</v>
      </c>
      <c r="G126" s="122">
        <v>1984325</v>
      </c>
    </row>
    <row r="127" spans="2:7" ht="13.7" customHeight="1">
      <c r="B127" s="5" t="s">
        <v>394</v>
      </c>
      <c r="C127" s="119" t="s">
        <v>273</v>
      </c>
      <c r="D127" s="120">
        <v>699721</v>
      </c>
      <c r="E127" s="138" t="s">
        <v>395</v>
      </c>
      <c r="F127" s="121" t="s">
        <v>396</v>
      </c>
      <c r="G127" s="122">
        <v>0</v>
      </c>
    </row>
    <row r="128" spans="2:7" ht="13.7" customHeight="1">
      <c r="B128" s="5" t="s">
        <v>397</v>
      </c>
      <c r="C128" s="121" t="s">
        <v>398</v>
      </c>
      <c r="D128" s="122">
        <v>569668</v>
      </c>
      <c r="E128" s="138" t="s">
        <v>399</v>
      </c>
      <c r="F128" s="121" t="s">
        <v>400</v>
      </c>
      <c r="G128" s="122">
        <v>0</v>
      </c>
    </row>
    <row r="129" spans="2:7" ht="13.7" customHeight="1">
      <c r="B129" s="5" t="s">
        <v>401</v>
      </c>
      <c r="C129" s="121" t="s">
        <v>276</v>
      </c>
      <c r="D129" s="122">
        <v>4589941</v>
      </c>
      <c r="E129" s="138" t="s">
        <v>402</v>
      </c>
      <c r="F129" s="121" t="s">
        <v>403</v>
      </c>
      <c r="G129" s="122">
        <v>2536897</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11776844</v>
      </c>
    </row>
    <row r="133" spans="2:7" ht="13.7" customHeight="1">
      <c r="B133" s="5" t="s">
        <v>413</v>
      </c>
      <c r="C133" s="121" t="s">
        <v>294</v>
      </c>
      <c r="D133" s="122">
        <v>13794</v>
      </c>
      <c r="E133" s="138" t="s">
        <v>414</v>
      </c>
      <c r="F133" s="121" t="s">
        <v>415</v>
      </c>
      <c r="G133" s="122">
        <v>1160195</v>
      </c>
    </row>
    <row r="134" spans="2:7" ht="13.7" customHeight="1">
      <c r="B134" s="5" t="s">
        <v>416</v>
      </c>
      <c r="C134" s="121" t="s">
        <v>417</v>
      </c>
      <c r="D134" s="122">
        <v>515780</v>
      </c>
      <c r="E134" s="138" t="s">
        <v>418</v>
      </c>
      <c r="F134" s="121" t="s">
        <v>419</v>
      </c>
      <c r="G134" s="122">
        <v>3161773</v>
      </c>
    </row>
    <row r="135" spans="2:7" ht="13.7" customHeight="1">
      <c r="B135" s="5" t="s">
        <v>420</v>
      </c>
      <c r="C135" s="121" t="s">
        <v>421</v>
      </c>
      <c r="D135" s="122">
        <v>8394092</v>
      </c>
      <c r="E135" s="138" t="s">
        <v>422</v>
      </c>
      <c r="F135" s="121" t="s">
        <v>423</v>
      </c>
      <c r="G135" s="122">
        <v>0</v>
      </c>
    </row>
    <row r="136" spans="2:7" ht="13.7" customHeight="1">
      <c r="B136" s="5" t="s">
        <v>424</v>
      </c>
      <c r="C136" s="121" t="s">
        <v>317</v>
      </c>
      <c r="D136" s="122">
        <f>16393+1058334+1446629</f>
        <v>2521356</v>
      </c>
      <c r="E136" s="138" t="s">
        <v>425</v>
      </c>
      <c r="F136" s="121" t="s">
        <v>426</v>
      </c>
      <c r="G136" s="122">
        <v>0</v>
      </c>
    </row>
    <row r="137" spans="2:7" ht="13.7" customHeight="1">
      <c r="B137" s="5" t="s">
        <v>427</v>
      </c>
      <c r="C137" s="78" t="s">
        <v>319</v>
      </c>
      <c r="D137" s="124">
        <v>547949</v>
      </c>
      <c r="E137" s="138" t="s">
        <v>428</v>
      </c>
      <c r="F137" s="121" t="s">
        <v>429</v>
      </c>
      <c r="G137" s="122">
        <v>8889983</v>
      </c>
    </row>
    <row r="138" spans="2:7" ht="13.7" customHeight="1" thickBot="1">
      <c r="B138" s="5"/>
      <c r="C138" s="85" t="s">
        <v>320</v>
      </c>
      <c r="D138" s="94">
        <f>SUM(D127:D137)</f>
        <v>17852301</v>
      </c>
      <c r="E138" s="138" t="s">
        <v>430</v>
      </c>
      <c r="F138" s="78" t="s">
        <v>431</v>
      </c>
      <c r="G138" s="79">
        <v>266525</v>
      </c>
    </row>
    <row r="139" spans="2:7" ht="13.7" customHeight="1" thickBot="1">
      <c r="B139" s="5" t="s">
        <v>432</v>
      </c>
      <c r="C139" s="119" t="s">
        <v>326</v>
      </c>
      <c r="D139" s="120">
        <v>0</v>
      </c>
      <c r="E139" s="228"/>
      <c r="F139" s="85" t="s">
        <v>433</v>
      </c>
      <c r="G139" s="94">
        <f>SUM(G124:G138)</f>
        <v>41073774</v>
      </c>
    </row>
    <row r="140" spans="2:7" ht="13.7" customHeight="1" thickBot="1">
      <c r="B140" s="5" t="s">
        <v>434</v>
      </c>
      <c r="C140" s="121" t="s">
        <v>328</v>
      </c>
      <c r="D140" s="122">
        <f>29635+1336488</f>
        <v>1366123</v>
      </c>
      <c r="E140" s="228"/>
      <c r="F140" s="110" t="s">
        <v>435</v>
      </c>
      <c r="G140" s="126">
        <f>G123-G139</f>
        <v>-18778078</v>
      </c>
    </row>
    <row r="141" spans="2:7" ht="13.7" customHeight="1">
      <c r="B141" s="5" t="s">
        <v>436</v>
      </c>
      <c r="C141" s="78" t="s">
        <v>330</v>
      </c>
      <c r="D141" s="124">
        <v>48786</v>
      </c>
      <c r="E141" s="229"/>
      <c r="F141" s="116"/>
      <c r="G141" s="116"/>
    </row>
    <row r="142" spans="2:7" ht="13.7" customHeight="1" thickBot="1">
      <c r="B142" s="5"/>
      <c r="C142" s="85" t="s">
        <v>331</v>
      </c>
      <c r="D142" s="94">
        <f>SUM(D139:D141)</f>
        <v>1414909</v>
      </c>
      <c r="E142" s="229"/>
      <c r="F142" s="116"/>
      <c r="G142" s="116"/>
    </row>
    <row r="143" spans="2:7" ht="13.5" customHeight="1" thickBot="1">
      <c r="B143" s="5"/>
      <c r="C143" s="110" t="s">
        <v>332</v>
      </c>
      <c r="D143" s="126">
        <f>[15]Amortizaciones!D33</f>
        <v>0</v>
      </c>
      <c r="E143" s="138"/>
      <c r="F143" s="72" t="s">
        <v>437</v>
      </c>
      <c r="G143" s="118">
        <f>+[15]E.S.P.!D6</f>
        <v>2021</v>
      </c>
    </row>
    <row r="144" spans="2:7" ht="13.7" customHeight="1">
      <c r="B144" s="5" t="s">
        <v>438</v>
      </c>
      <c r="C144" s="119" t="s">
        <v>439</v>
      </c>
      <c r="D144" s="120">
        <v>10215</v>
      </c>
      <c r="E144" s="138" t="s">
        <v>440</v>
      </c>
      <c r="F144" s="119" t="s">
        <v>441</v>
      </c>
      <c r="G144" s="120">
        <v>2020</v>
      </c>
    </row>
    <row r="145" spans="2:7" ht="13.7" customHeight="1">
      <c r="B145" s="5" t="s">
        <v>442</v>
      </c>
      <c r="C145" s="121" t="s">
        <v>443</v>
      </c>
      <c r="D145" s="122">
        <v>250</v>
      </c>
      <c r="E145" s="138" t="s">
        <v>444</v>
      </c>
      <c r="F145" s="121" t="s">
        <v>445</v>
      </c>
      <c r="G145" s="122">
        <v>5595981</v>
      </c>
    </row>
    <row r="146" spans="2:7" ht="13.7" customHeight="1">
      <c r="B146" s="5" t="s">
        <v>446</v>
      </c>
      <c r="C146" s="128" t="s">
        <v>447</v>
      </c>
      <c r="D146" s="122">
        <v>0</v>
      </c>
      <c r="E146" s="138" t="s">
        <v>448</v>
      </c>
      <c r="F146" s="121" t="s">
        <v>449</v>
      </c>
      <c r="G146" s="122">
        <v>158822</v>
      </c>
    </row>
    <row r="147" spans="2:7" ht="13.7" customHeight="1">
      <c r="B147" s="5" t="s">
        <v>450</v>
      </c>
      <c r="C147" s="78" t="s">
        <v>451</v>
      </c>
      <c r="D147" s="124">
        <v>523</v>
      </c>
      <c r="E147" s="138" t="s">
        <v>452</v>
      </c>
      <c r="F147" s="121" t="s">
        <v>453</v>
      </c>
      <c r="G147" s="122">
        <v>0</v>
      </c>
    </row>
    <row r="148" spans="2:7" ht="13.7" customHeight="1" thickBot="1">
      <c r="B148" s="5"/>
      <c r="C148" s="85" t="s">
        <v>518</v>
      </c>
      <c r="D148" s="94">
        <f>SUM(D144:D147)</f>
        <v>10988</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16723434</v>
      </c>
    </row>
    <row r="152" spans="2:7" ht="13.7" customHeight="1" thickBot="1">
      <c r="B152" s="5"/>
      <c r="C152" s="85" t="s">
        <v>516</v>
      </c>
      <c r="D152" s="94">
        <f>SUM(D149:D151)</f>
        <v>0</v>
      </c>
      <c r="E152" s="138" t="s">
        <v>469</v>
      </c>
      <c r="F152" s="121" t="s">
        <v>470</v>
      </c>
      <c r="G152" s="122">
        <v>2301</v>
      </c>
    </row>
    <row r="153" spans="2:7" ht="15" customHeight="1" thickBot="1">
      <c r="B153" s="5"/>
      <c r="C153" s="110" t="s">
        <v>471</v>
      </c>
      <c r="D153" s="129">
        <f>D122+D126+D138+D142+D143+D148+D152</f>
        <v>98074488</v>
      </c>
      <c r="E153" s="138" t="s">
        <v>472</v>
      </c>
      <c r="F153" s="78" t="s">
        <v>473</v>
      </c>
      <c r="G153" s="79">
        <v>173045</v>
      </c>
    </row>
    <row r="154" spans="2:7" ht="13.7" customHeight="1" thickBot="1">
      <c r="B154" s="5"/>
      <c r="C154" s="116"/>
      <c r="D154" s="116"/>
      <c r="E154" s="138"/>
      <c r="F154" s="85" t="s">
        <v>474</v>
      </c>
      <c r="G154" s="94">
        <f>SUM(G144:G153)</f>
        <v>22655603</v>
      </c>
    </row>
    <row r="155" spans="2:7" ht="13.5" customHeight="1" thickBot="1">
      <c r="B155" s="5"/>
      <c r="C155" s="72" t="s">
        <v>475</v>
      </c>
      <c r="D155" s="103">
        <f>G109-D153</f>
        <v>-44237750</v>
      </c>
      <c r="E155" s="138" t="s">
        <v>476</v>
      </c>
      <c r="F155" s="119" t="s">
        <v>477</v>
      </c>
      <c r="G155" s="120">
        <v>17046447</v>
      </c>
    </row>
    <row r="156" spans="2:7" ht="13.7" customHeight="1">
      <c r="C156" s="116"/>
      <c r="D156" s="116"/>
      <c r="E156" s="138" t="s">
        <v>478</v>
      </c>
      <c r="F156" s="121" t="s">
        <v>479</v>
      </c>
      <c r="G156" s="122">
        <v>13772555</v>
      </c>
    </row>
    <row r="157" spans="2:7" ht="13.7" customHeight="1">
      <c r="C157" s="116"/>
      <c r="D157" s="116"/>
      <c r="E157" s="138" t="s">
        <v>480</v>
      </c>
      <c r="F157" s="121" t="s">
        <v>481</v>
      </c>
      <c r="G157" s="122">
        <v>51859</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3252577</v>
      </c>
    </row>
    <row r="165" spans="3:7" ht="13.7" customHeight="1">
      <c r="C165" s="116"/>
      <c r="D165" s="116"/>
      <c r="E165" s="138" t="s">
        <v>496</v>
      </c>
      <c r="F165" s="121" t="s">
        <v>497</v>
      </c>
      <c r="G165" s="122">
        <v>0</v>
      </c>
    </row>
    <row r="166" spans="3:7" ht="13.7" customHeight="1">
      <c r="C166" s="116"/>
      <c r="D166" s="116"/>
      <c r="E166" s="138" t="s">
        <v>498</v>
      </c>
      <c r="F166" s="121" t="s">
        <v>499</v>
      </c>
      <c r="G166" s="122">
        <v>975016</v>
      </c>
    </row>
    <row r="167" spans="3:7" ht="13.7" customHeight="1">
      <c r="C167" s="116"/>
      <c r="D167" s="116"/>
      <c r="E167" s="138" t="s">
        <v>500</v>
      </c>
      <c r="F167" s="78" t="s">
        <v>501</v>
      </c>
      <c r="G167" s="79">
        <v>1195226</v>
      </c>
    </row>
    <row r="168" spans="3:7" ht="13.7" customHeight="1" thickBot="1">
      <c r="C168" s="116"/>
      <c r="D168" s="116"/>
      <c r="E168" s="138"/>
      <c r="F168" s="85" t="s">
        <v>502</v>
      </c>
      <c r="G168" s="94">
        <f>SUM(G155:G167)</f>
        <v>36293680</v>
      </c>
    </row>
    <row r="169" spans="3:7" ht="13.7" customHeight="1" thickBot="1">
      <c r="C169" s="116"/>
      <c r="D169" s="116"/>
      <c r="E169" s="138"/>
      <c r="F169" s="110" t="s">
        <v>503</v>
      </c>
      <c r="G169" s="126">
        <f>G154-G168</f>
        <v>-13638077</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-76653905</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-76653905</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384" priority="2" stopIfTrue="1" operator="greaterThan">
      <formula>50</formula>
    </cfRule>
    <cfRule type="cellIs" dxfId="383" priority="11" stopIfTrue="1" operator="equal">
      <formula>0</formula>
    </cfRule>
  </conditionalFormatting>
  <conditionalFormatting sqref="D7:D61">
    <cfRule type="cellIs" dxfId="382" priority="9" stopIfTrue="1" operator="between">
      <formula>-0.1</formula>
      <formula>-50</formula>
    </cfRule>
    <cfRule type="cellIs" dxfId="381" priority="10" stopIfTrue="1" operator="between">
      <formula>0.1</formula>
      <formula>50</formula>
    </cfRule>
  </conditionalFormatting>
  <conditionalFormatting sqref="G152:G181 G7:G150">
    <cfRule type="cellIs" dxfId="380" priority="7" stopIfTrue="1" operator="between">
      <formula>-0.1</formula>
      <formula>-50</formula>
    </cfRule>
    <cfRule type="cellIs" dxfId="379" priority="8" stopIfTrue="1" operator="between">
      <formula>0.1</formula>
      <formula>50</formula>
    </cfRule>
  </conditionalFormatting>
  <conditionalFormatting sqref="D111:D155">
    <cfRule type="cellIs" dxfId="378" priority="5" stopIfTrue="1" operator="between">
      <formula>-0.1</formula>
      <formula>-50</formula>
    </cfRule>
    <cfRule type="cellIs" dxfId="377" priority="6" stopIfTrue="1" operator="between">
      <formula>0.1</formula>
      <formula>50</formula>
    </cfRule>
  </conditionalFormatting>
  <conditionalFormatting sqref="G165">
    <cfRule type="expression" dxfId="376" priority="4" stopIfTrue="1">
      <formula>AND($G$165&gt;0,$G$151&gt;0)</formula>
    </cfRule>
  </conditionalFormatting>
  <conditionalFormatting sqref="G151">
    <cfRule type="expression" dxfId="37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43307086614173229" right="0.23622047244094491" top="0.35433070866141736" bottom="0.15748031496062992" header="0.31496062992125984" footer="0.31496062992125984"/>
  <pageSetup paperSize="9" scale="52" fitToHeight="0" orientation="portrait" horizontalDpi="300" verticalDpi="300" r:id="rId1"/>
  <headerFooter alignWithMargins="0"/>
  <rowBreaks count="3" manualBreakCount="3">
    <brk id="79" min="2" max="8" man="1"/>
    <brk id="181" min="2" max="8" man="1"/>
    <brk id="185" min="2" max="8" man="1"/>
  </rowBreaks>
  <ignoredErrors>
    <ignoredError sqref="E7:E1048576" numberStoredAsText="1"/>
    <ignoredError sqref="D136:D140 G116 G93 D50 D42 D19" unlockedFormula="1"/>
    <ignoredError sqref="G40" formulaRange="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C180" sqref="C180"/>
    </sheetView>
  </sheetViews>
  <sheetFormatPr baseColWidth="10" defaultColWidth="0" defaultRowHeight="15.75" zeroHeight="1"/>
  <cols>
    <col min="1" max="1" width="3" style="1" customWidth="1"/>
    <col min="2" max="2" width="14.28515625" style="6" hidden="1" customWidth="1"/>
    <col min="3" max="3" width="57.140625" style="19" customWidth="1"/>
    <col min="4" max="4" width="21" style="19" customWidth="1"/>
    <col min="5" max="5" width="3.85546875" style="13" customWidth="1"/>
    <col min="6" max="6" width="57.28515625" style="19" customWidth="1"/>
    <col min="7" max="7" width="21" style="19" customWidth="1"/>
    <col min="8" max="8" width="3.140625" style="4" customWidth="1"/>
    <col min="9" max="16384" width="0" style="4" hidden="1"/>
  </cols>
  <sheetData>
    <row r="1" spans="1:9">
      <c r="B1" s="2"/>
      <c r="C1" s="255" t="s">
        <v>0</v>
      </c>
      <c r="D1" s="258"/>
      <c r="E1" s="253" t="str">
        <f>[16]Presentacion!C3</f>
        <v>COMECA - IAMPP</v>
      </c>
      <c r="F1" s="253"/>
      <c r="G1" s="136"/>
      <c r="H1" s="3"/>
    </row>
    <row r="2" spans="1:9">
      <c r="B2" s="5"/>
      <c r="C2" s="255" t="s">
        <v>1</v>
      </c>
      <c r="D2" s="258"/>
      <c r="E2" s="253" t="str">
        <f>[16]Presentacion!C4</f>
        <v>Canelones</v>
      </c>
      <c r="F2" s="253"/>
      <c r="G2" s="136"/>
      <c r="H2" s="3"/>
    </row>
    <row r="3" spans="1:9">
      <c r="B3" s="5"/>
      <c r="C3" s="255" t="s">
        <v>2</v>
      </c>
      <c r="D3" s="255"/>
      <c r="E3" s="254" t="s">
        <v>3</v>
      </c>
      <c r="F3" s="254"/>
      <c r="G3" s="136"/>
      <c r="H3" s="3"/>
    </row>
    <row r="4" spans="1:9" ht="12"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+[16]E.S.P.!D6</f>
        <v>2021</v>
      </c>
      <c r="E6" s="138"/>
      <c r="F6" s="75" t="s">
        <v>8</v>
      </c>
      <c r="G6" s="76">
        <f>+D6</f>
        <v>2021</v>
      </c>
      <c r="H6" s="12"/>
    </row>
    <row r="7" spans="1:9">
      <c r="B7" s="5" t="s">
        <v>9</v>
      </c>
      <c r="C7" s="78" t="s">
        <v>10</v>
      </c>
      <c r="D7" s="79">
        <v>38847877</v>
      </c>
      <c r="E7" s="138" t="s">
        <v>11</v>
      </c>
      <c r="F7" s="80" t="s">
        <v>12</v>
      </c>
      <c r="G7" s="81">
        <v>0</v>
      </c>
    </row>
    <row r="8" spans="1:9">
      <c r="B8" s="5" t="s">
        <v>13</v>
      </c>
      <c r="C8" s="78" t="s">
        <v>14</v>
      </c>
      <c r="D8" s="79">
        <v>92858161</v>
      </c>
      <c r="E8" s="138" t="s">
        <v>15</v>
      </c>
      <c r="F8" s="78" t="s">
        <v>16</v>
      </c>
      <c r="G8" s="82">
        <v>215078917</v>
      </c>
    </row>
    <row r="9" spans="1:9">
      <c r="B9" s="5" t="s">
        <v>17</v>
      </c>
      <c r="C9" s="78" t="s">
        <v>18</v>
      </c>
      <c r="D9" s="79">
        <v>1543225084</v>
      </c>
      <c r="E9" s="138" t="s">
        <v>19</v>
      </c>
      <c r="F9" s="78" t="s">
        <v>20</v>
      </c>
      <c r="G9" s="79">
        <v>0</v>
      </c>
    </row>
    <row r="10" spans="1:9">
      <c r="B10" s="5" t="s">
        <v>21</v>
      </c>
      <c r="C10" s="78" t="s">
        <v>22</v>
      </c>
      <c r="D10" s="79">
        <v>154953071</v>
      </c>
      <c r="E10" s="138" t="s">
        <v>23</v>
      </c>
      <c r="F10" s="78" t="s">
        <v>24</v>
      </c>
      <c r="G10" s="79">
        <v>408163789</v>
      </c>
    </row>
    <row r="11" spans="1:9">
      <c r="B11" s="5" t="s">
        <v>25</v>
      </c>
      <c r="C11" s="78" t="s">
        <v>26</v>
      </c>
      <c r="D11" s="79">
        <v>37229209</v>
      </c>
      <c r="E11" s="138" t="s">
        <v>27</v>
      </c>
      <c r="F11" s="78" t="s">
        <v>28</v>
      </c>
      <c r="G11" s="79">
        <v>0</v>
      </c>
    </row>
    <row r="12" spans="1:9">
      <c r="B12" s="5" t="s">
        <v>29</v>
      </c>
      <c r="C12" s="78" t="s">
        <v>30</v>
      </c>
      <c r="D12" s="79">
        <v>31821228</v>
      </c>
      <c r="E12" s="138" t="s">
        <v>31</v>
      </c>
      <c r="F12" s="78" t="s">
        <v>32</v>
      </c>
      <c r="G12" s="79">
        <v>58475437.850000001</v>
      </c>
    </row>
    <row r="13" spans="1:9">
      <c r="B13" s="5" t="s">
        <v>33</v>
      </c>
      <c r="C13" s="78" t="s">
        <v>34</v>
      </c>
      <c r="D13" s="79">
        <v>0</v>
      </c>
      <c r="E13" s="138" t="s">
        <v>35</v>
      </c>
      <c r="F13" s="78" t="s">
        <v>36</v>
      </c>
      <c r="G13" s="79">
        <v>0</v>
      </c>
    </row>
    <row r="14" spans="1:9">
      <c r="A14" s="14"/>
      <c r="B14" s="5" t="s">
        <v>37</v>
      </c>
      <c r="C14" s="78" t="s">
        <v>38</v>
      </c>
      <c r="D14" s="79">
        <v>39566062</v>
      </c>
      <c r="E14" s="138" t="s">
        <v>39</v>
      </c>
      <c r="F14" s="78" t="s">
        <v>40</v>
      </c>
      <c r="G14" s="79">
        <v>273876606.07999998</v>
      </c>
    </row>
    <row r="15" spans="1:9">
      <c r="B15" s="5" t="s">
        <v>41</v>
      </c>
      <c r="C15" s="83" t="s">
        <v>42</v>
      </c>
      <c r="D15" s="79">
        <v>0</v>
      </c>
      <c r="E15" s="138" t="s">
        <v>43</v>
      </c>
      <c r="F15" s="78" t="s">
        <v>44</v>
      </c>
      <c r="G15" s="79">
        <v>116784831.58000001</v>
      </c>
    </row>
    <row r="16" spans="1:9">
      <c r="B16" s="5" t="s">
        <v>45</v>
      </c>
      <c r="C16" s="78" t="s">
        <v>46</v>
      </c>
      <c r="D16" s="79">
        <v>0</v>
      </c>
      <c r="E16" s="138" t="s">
        <v>47</v>
      </c>
      <c r="F16" s="78" t="s">
        <v>48</v>
      </c>
      <c r="G16" s="79">
        <v>111730929.70999998</v>
      </c>
    </row>
    <row r="17" spans="1:7">
      <c r="B17" s="5" t="s">
        <v>49</v>
      </c>
      <c r="C17" s="78" t="s">
        <v>50</v>
      </c>
      <c r="D17" s="79">
        <v>0</v>
      </c>
      <c r="E17" s="138" t="s">
        <v>51</v>
      </c>
      <c r="F17" s="78" t="s">
        <v>52</v>
      </c>
      <c r="G17" s="79">
        <v>15915099</v>
      </c>
    </row>
    <row r="18" spans="1:7">
      <c r="A18" s="14"/>
      <c r="B18" s="5" t="s">
        <v>53</v>
      </c>
      <c r="C18" s="78" t="s">
        <v>54</v>
      </c>
      <c r="D18" s="79">
        <v>30026339</v>
      </c>
      <c r="E18" s="138" t="s">
        <v>55</v>
      </c>
      <c r="F18" s="78" t="s">
        <v>56</v>
      </c>
      <c r="G18" s="84">
        <v>40510245</v>
      </c>
    </row>
    <row r="19" spans="1:7" ht="16.5" thickBot="1">
      <c r="A19" s="14"/>
      <c r="B19" s="5" t="s">
        <v>57</v>
      </c>
      <c r="C19" s="78" t="s">
        <v>58</v>
      </c>
      <c r="D19" s="79">
        <v>68066073</v>
      </c>
      <c r="E19" s="138"/>
      <c r="F19" s="85" t="s">
        <v>59</v>
      </c>
      <c r="G19" s="86">
        <f>SUM(G7:G18)</f>
        <v>1240535855.22</v>
      </c>
    </row>
    <row r="20" spans="1:7" ht="16.5" thickBot="1">
      <c r="B20" s="5"/>
      <c r="C20" s="85" t="s">
        <v>60</v>
      </c>
      <c r="D20" s="86">
        <f>SUM(D7:D19)</f>
        <v>2036593104</v>
      </c>
      <c r="E20" s="138" t="s">
        <v>61</v>
      </c>
      <c r="F20" s="80" t="s">
        <v>62</v>
      </c>
      <c r="G20" s="81">
        <v>0</v>
      </c>
    </row>
    <row r="21" spans="1:7">
      <c r="B21" s="5"/>
      <c r="C21" s="87" t="s">
        <v>63</v>
      </c>
      <c r="D21" s="88">
        <f>SUM(D22:D28)</f>
        <v>35976065.030000001</v>
      </c>
      <c r="E21" s="138" t="s">
        <v>64</v>
      </c>
      <c r="F21" s="78" t="s">
        <v>65</v>
      </c>
      <c r="G21" s="79">
        <v>27561160</v>
      </c>
    </row>
    <row r="22" spans="1:7">
      <c r="B22" s="5" t="s">
        <v>66</v>
      </c>
      <c r="C22" s="78" t="s">
        <v>67</v>
      </c>
      <c r="D22" s="79">
        <v>19432104.510000002</v>
      </c>
      <c r="E22" s="138" t="s">
        <v>68</v>
      </c>
      <c r="F22" s="78" t="s">
        <v>69</v>
      </c>
      <c r="G22" s="79">
        <v>3408946</v>
      </c>
    </row>
    <row r="23" spans="1:7">
      <c r="B23" s="5" t="s">
        <v>70</v>
      </c>
      <c r="C23" s="78" t="s">
        <v>71</v>
      </c>
      <c r="D23" s="79">
        <v>1818020.2199999997</v>
      </c>
      <c r="E23" s="138" t="s">
        <v>72</v>
      </c>
      <c r="F23" s="78" t="s">
        <v>73</v>
      </c>
      <c r="G23" s="79">
        <v>43790033</v>
      </c>
    </row>
    <row r="24" spans="1:7">
      <c r="B24" s="5" t="s">
        <v>74</v>
      </c>
      <c r="C24" s="78" t="s">
        <v>75</v>
      </c>
      <c r="D24" s="79">
        <v>6448352.4199999999</v>
      </c>
      <c r="E24" s="138" t="s">
        <v>76</v>
      </c>
      <c r="F24" s="78" t="s">
        <v>77</v>
      </c>
      <c r="G24" s="79">
        <v>0</v>
      </c>
    </row>
    <row r="25" spans="1:7">
      <c r="B25" s="5" t="s">
        <v>78</v>
      </c>
      <c r="C25" s="78" t="s">
        <v>79</v>
      </c>
      <c r="D25" s="79">
        <v>96580.779999999984</v>
      </c>
      <c r="E25" s="138" t="s">
        <v>80</v>
      </c>
      <c r="F25" s="78" t="s">
        <v>81</v>
      </c>
      <c r="G25" s="79">
        <v>8053413.8200000003</v>
      </c>
    </row>
    <row r="26" spans="1:7">
      <c r="B26" s="5" t="s">
        <v>82</v>
      </c>
      <c r="C26" s="78" t="s">
        <v>83</v>
      </c>
      <c r="D26" s="79">
        <v>7032559.0999999996</v>
      </c>
      <c r="E26" s="138" t="s">
        <v>84</v>
      </c>
      <c r="F26" s="78" t="s">
        <v>85</v>
      </c>
      <c r="G26" s="84">
        <v>2765961</v>
      </c>
    </row>
    <row r="27" spans="1:7" ht="13.5" customHeight="1" thickBot="1">
      <c r="B27" s="5" t="s">
        <v>86</v>
      </c>
      <c r="C27" s="78" t="s">
        <v>87</v>
      </c>
      <c r="D27" s="79">
        <v>0</v>
      </c>
      <c r="E27" s="138"/>
      <c r="F27" s="85" t="s">
        <v>88</v>
      </c>
      <c r="G27" s="86">
        <f>SUM(G20:G26)</f>
        <v>85579513.819999993</v>
      </c>
    </row>
    <row r="28" spans="1:7">
      <c r="B28" s="5" t="s">
        <v>89</v>
      </c>
      <c r="C28" s="78" t="s">
        <v>90</v>
      </c>
      <c r="D28" s="79">
        <v>1148448</v>
      </c>
      <c r="E28" s="138" t="s">
        <v>91</v>
      </c>
      <c r="F28" s="80" t="s">
        <v>92</v>
      </c>
      <c r="G28" s="81">
        <v>78901703.170000002</v>
      </c>
    </row>
    <row r="29" spans="1:7">
      <c r="B29" s="5"/>
      <c r="C29" s="89" t="s">
        <v>93</v>
      </c>
      <c r="D29" s="88">
        <f>SUM(D30:D34)</f>
        <v>165870993.7904951</v>
      </c>
      <c r="E29" s="138" t="s">
        <v>94</v>
      </c>
      <c r="F29" s="78" t="s">
        <v>95</v>
      </c>
      <c r="G29" s="79">
        <v>70772719.049999997</v>
      </c>
    </row>
    <row r="30" spans="1:7">
      <c r="B30" s="5" t="s">
        <v>96</v>
      </c>
      <c r="C30" s="78" t="s">
        <v>97</v>
      </c>
      <c r="D30" s="79">
        <v>133628362.40000002</v>
      </c>
      <c r="E30" s="138" t="s">
        <v>98</v>
      </c>
      <c r="F30" s="78" t="s">
        <v>99</v>
      </c>
      <c r="G30" s="79">
        <v>20757187.5</v>
      </c>
    </row>
    <row r="31" spans="1:7">
      <c r="B31" s="5" t="s">
        <v>100</v>
      </c>
      <c r="C31" s="78" t="s">
        <v>101</v>
      </c>
      <c r="D31" s="79">
        <v>6667105.5599999996</v>
      </c>
      <c r="E31" s="138" t="s">
        <v>102</v>
      </c>
      <c r="F31" s="78" t="s">
        <v>103</v>
      </c>
      <c r="G31" s="84">
        <v>5708594</v>
      </c>
    </row>
    <row r="32" spans="1:7" ht="16.5" thickBot="1">
      <c r="B32" s="5" t="s">
        <v>104</v>
      </c>
      <c r="C32" s="78" t="s">
        <v>105</v>
      </c>
      <c r="D32" s="79">
        <v>20163040.349999998</v>
      </c>
      <c r="E32" s="138"/>
      <c r="F32" s="85" t="s">
        <v>106</v>
      </c>
      <c r="G32" s="86">
        <f>SUM(G28:G31)</f>
        <v>176140203.72</v>
      </c>
    </row>
    <row r="33" spans="2:7">
      <c r="B33" s="5" t="s">
        <v>107</v>
      </c>
      <c r="C33" s="78" t="s">
        <v>108</v>
      </c>
      <c r="D33" s="79">
        <v>0</v>
      </c>
      <c r="E33" s="138"/>
      <c r="F33" s="89" t="s">
        <v>109</v>
      </c>
      <c r="G33" s="88">
        <f>SUM(G34:G39)</f>
        <v>130536899.72</v>
      </c>
    </row>
    <row r="34" spans="2:7">
      <c r="B34" s="5" t="s">
        <v>110</v>
      </c>
      <c r="C34" s="78" t="s">
        <v>111</v>
      </c>
      <c r="D34" s="79">
        <v>5412485.4804950953</v>
      </c>
      <c r="E34" s="138" t="s">
        <v>112</v>
      </c>
      <c r="F34" s="78" t="s">
        <v>113</v>
      </c>
      <c r="G34" s="79">
        <v>3093784.58</v>
      </c>
    </row>
    <row r="35" spans="2:7" ht="16.5" thickBot="1">
      <c r="B35" s="5"/>
      <c r="C35" s="85" t="s">
        <v>114</v>
      </c>
      <c r="D35" s="86">
        <f>+D21+D29</f>
        <v>201847058.8204951</v>
      </c>
      <c r="E35" s="138" t="s">
        <v>115</v>
      </c>
      <c r="F35" s="78" t="s">
        <v>116</v>
      </c>
      <c r="G35" s="79">
        <v>849568.79</v>
      </c>
    </row>
    <row r="36" spans="2:7">
      <c r="B36" s="5" t="s">
        <v>117</v>
      </c>
      <c r="C36" s="78" t="s">
        <v>118</v>
      </c>
      <c r="D36" s="79">
        <v>10796166</v>
      </c>
      <c r="E36" s="138" t="s">
        <v>119</v>
      </c>
      <c r="F36" s="78" t="s">
        <v>517</v>
      </c>
      <c r="G36" s="79">
        <v>3124883.49</v>
      </c>
    </row>
    <row r="37" spans="2:7">
      <c r="B37" s="5" t="s">
        <v>120</v>
      </c>
      <c r="C37" s="78" t="s">
        <v>121</v>
      </c>
      <c r="D37" s="79">
        <v>20586901</v>
      </c>
      <c r="E37" s="138" t="s">
        <v>122</v>
      </c>
      <c r="F37" s="78" t="s">
        <v>123</v>
      </c>
      <c r="G37" s="79">
        <v>9393572.0600000005</v>
      </c>
    </row>
    <row r="38" spans="2:7">
      <c r="B38" s="5" t="s">
        <v>124</v>
      </c>
      <c r="C38" s="78" t="s">
        <v>125</v>
      </c>
      <c r="D38" s="79">
        <v>45472037.079999998</v>
      </c>
      <c r="E38" s="138" t="s">
        <v>126</v>
      </c>
      <c r="F38" s="78" t="s">
        <v>127</v>
      </c>
      <c r="G38" s="79">
        <v>14262103.300000001</v>
      </c>
    </row>
    <row r="39" spans="2:7">
      <c r="B39" s="5" t="s">
        <v>128</v>
      </c>
      <c r="C39" s="78" t="s">
        <v>129</v>
      </c>
      <c r="D39" s="79">
        <v>22735353</v>
      </c>
      <c r="E39" s="138" t="s">
        <v>130</v>
      </c>
      <c r="F39" s="78" t="s">
        <v>131</v>
      </c>
      <c r="G39" s="79">
        <v>99812987.5</v>
      </c>
    </row>
    <row r="40" spans="2:7">
      <c r="B40" s="5" t="s">
        <v>132</v>
      </c>
      <c r="C40" s="78" t="s">
        <v>133</v>
      </c>
      <c r="D40" s="79">
        <v>9462346.6400000006</v>
      </c>
      <c r="E40" s="138"/>
      <c r="F40" s="90" t="s">
        <v>134</v>
      </c>
      <c r="G40" s="91">
        <f>SUM(G41:G46)</f>
        <v>55049314.359999999</v>
      </c>
    </row>
    <row r="41" spans="2:7">
      <c r="B41" s="5" t="s">
        <v>135</v>
      </c>
      <c r="C41" s="78" t="s">
        <v>136</v>
      </c>
      <c r="D41" s="79">
        <v>53824674</v>
      </c>
      <c r="E41" s="138" t="s">
        <v>137</v>
      </c>
      <c r="F41" s="78" t="s">
        <v>138</v>
      </c>
      <c r="G41" s="79">
        <v>7179389.5499999998</v>
      </c>
    </row>
    <row r="42" spans="2:7">
      <c r="B42" s="5" t="s">
        <v>139</v>
      </c>
      <c r="C42" s="78" t="s">
        <v>140</v>
      </c>
      <c r="D42" s="79">
        <v>30771949</v>
      </c>
      <c r="E42" s="138" t="s">
        <v>141</v>
      </c>
      <c r="F42" s="78" t="s">
        <v>142</v>
      </c>
      <c r="G42" s="79">
        <v>46618.59</v>
      </c>
    </row>
    <row r="43" spans="2:7">
      <c r="B43" s="5" t="s">
        <v>143</v>
      </c>
      <c r="C43" s="78" t="s">
        <v>144</v>
      </c>
      <c r="D43" s="79">
        <v>0</v>
      </c>
      <c r="E43" s="138" t="s">
        <v>145</v>
      </c>
      <c r="F43" s="78" t="s">
        <v>146</v>
      </c>
      <c r="G43" s="79">
        <v>4954263.04</v>
      </c>
    </row>
    <row r="44" spans="2:7">
      <c r="B44" s="5" t="s">
        <v>147</v>
      </c>
      <c r="C44" s="78" t="s">
        <v>148</v>
      </c>
      <c r="D44" s="79">
        <v>0</v>
      </c>
      <c r="E44" s="138" t="s">
        <v>149</v>
      </c>
      <c r="F44" s="78" t="s">
        <v>150</v>
      </c>
      <c r="G44" s="79">
        <v>1993280.6</v>
      </c>
    </row>
    <row r="45" spans="2:7">
      <c r="B45" s="5" t="s">
        <v>151</v>
      </c>
      <c r="C45" s="78" t="s">
        <v>152</v>
      </c>
      <c r="D45" s="79">
        <v>132237669</v>
      </c>
      <c r="E45" s="138" t="s">
        <v>153</v>
      </c>
      <c r="F45" s="78" t="s">
        <v>154</v>
      </c>
      <c r="G45" s="79">
        <v>1001462.48</v>
      </c>
    </row>
    <row r="46" spans="2:7">
      <c r="B46" s="5" t="s">
        <v>155</v>
      </c>
      <c r="C46" s="78" t="s">
        <v>156</v>
      </c>
      <c r="D46" s="79">
        <v>10227269</v>
      </c>
      <c r="E46" s="138" t="s">
        <v>157</v>
      </c>
      <c r="F46" s="78" t="s">
        <v>158</v>
      </c>
      <c r="G46" s="79">
        <v>39874300.100000001</v>
      </c>
    </row>
    <row r="47" spans="2:7" ht="16.5" thickBot="1">
      <c r="B47" s="5"/>
      <c r="C47" s="85" t="s">
        <v>159</v>
      </c>
      <c r="D47" s="86">
        <f>SUM(D36:D46)</f>
        <v>336114364.72000003</v>
      </c>
      <c r="E47" s="138" t="s">
        <v>160</v>
      </c>
      <c r="F47" s="78" t="s">
        <v>161</v>
      </c>
      <c r="G47" s="84">
        <v>5766793</v>
      </c>
    </row>
    <row r="48" spans="2:7" ht="16.5" thickBot="1">
      <c r="B48" s="5"/>
      <c r="C48" s="92" t="s">
        <v>162</v>
      </c>
      <c r="D48" s="93"/>
      <c r="E48" s="138"/>
      <c r="F48" s="85" t="s">
        <v>163</v>
      </c>
      <c r="G48" s="94">
        <f>+G33+G40+G47</f>
        <v>191353007.07999998</v>
      </c>
    </row>
    <row r="49" spans="2:7">
      <c r="B49" s="5" t="s">
        <v>164</v>
      </c>
      <c r="C49" s="95" t="s">
        <v>165</v>
      </c>
      <c r="D49" s="96">
        <v>0</v>
      </c>
      <c r="E49" s="138" t="s">
        <v>166</v>
      </c>
      <c r="F49" s="80" t="s">
        <v>167</v>
      </c>
      <c r="G49" s="81">
        <v>29425154.939999998</v>
      </c>
    </row>
    <row r="50" spans="2:7">
      <c r="B50" s="5" t="s">
        <v>168</v>
      </c>
      <c r="C50" s="78" t="s">
        <v>162</v>
      </c>
      <c r="D50" s="79">
        <v>0</v>
      </c>
      <c r="E50" s="138" t="s">
        <v>169</v>
      </c>
      <c r="F50" s="78" t="s">
        <v>170</v>
      </c>
      <c r="G50" s="79">
        <v>105359135.34999999</v>
      </c>
    </row>
    <row r="51" spans="2:7">
      <c r="B51" s="5" t="s">
        <v>171</v>
      </c>
      <c r="C51" s="78" t="s">
        <v>172</v>
      </c>
      <c r="D51" s="84">
        <v>0</v>
      </c>
      <c r="E51" s="138" t="s">
        <v>173</v>
      </c>
      <c r="F51" s="78" t="s">
        <v>174</v>
      </c>
      <c r="G51" s="79">
        <v>2303320.9</v>
      </c>
    </row>
    <row r="52" spans="2:7" ht="16.5" thickBot="1">
      <c r="B52" s="11"/>
      <c r="C52" s="85" t="s">
        <v>175</v>
      </c>
      <c r="D52" s="86">
        <f>SUM(D49:D51)</f>
        <v>0</v>
      </c>
      <c r="E52" s="138" t="s">
        <v>176</v>
      </c>
      <c r="F52" s="78" t="s">
        <v>177</v>
      </c>
      <c r="G52" s="79">
        <v>10413778.469999999</v>
      </c>
    </row>
    <row r="53" spans="2:7" ht="16.5" thickBot="1">
      <c r="B53" s="5"/>
      <c r="C53" s="75" t="s">
        <v>178</v>
      </c>
      <c r="D53" s="97">
        <f>D20+D35+D47+D52</f>
        <v>2574554527.5404949</v>
      </c>
      <c r="E53" s="138" t="s">
        <v>179</v>
      </c>
      <c r="F53" s="78" t="s">
        <v>180</v>
      </c>
      <c r="G53" s="79">
        <v>11444282.750000002</v>
      </c>
    </row>
    <row r="54" spans="2:7">
      <c r="C54" s="98"/>
      <c r="D54" s="99"/>
      <c r="E54" s="138" t="s">
        <v>181</v>
      </c>
      <c r="F54" s="78" t="s">
        <v>182</v>
      </c>
      <c r="G54" s="79">
        <v>1358241</v>
      </c>
    </row>
    <row r="55" spans="2:7">
      <c r="C55" s="100" t="s">
        <v>183</v>
      </c>
      <c r="D55" s="101"/>
      <c r="E55" s="138" t="s">
        <v>184</v>
      </c>
      <c r="F55" s="78" t="s">
        <v>185</v>
      </c>
      <c r="G55" s="79">
        <f>3922119+27936</f>
        <v>3950055</v>
      </c>
    </row>
    <row r="56" spans="2:7">
      <c r="B56" s="5" t="s">
        <v>186</v>
      </c>
      <c r="C56" s="102" t="s">
        <v>187</v>
      </c>
      <c r="D56" s="79"/>
      <c r="E56" s="138" t="s">
        <v>188</v>
      </c>
      <c r="F56" s="78" t="s">
        <v>189</v>
      </c>
      <c r="G56" s="84">
        <v>7258163</v>
      </c>
    </row>
    <row r="57" spans="2:7" ht="14.25" customHeight="1" thickBot="1">
      <c r="B57" s="5" t="s">
        <v>190</v>
      </c>
      <c r="C57" s="102" t="s">
        <v>191</v>
      </c>
      <c r="D57" s="79"/>
      <c r="E57" s="138"/>
      <c r="F57" s="85" t="s">
        <v>192</v>
      </c>
      <c r="G57" s="86">
        <f>SUM(G49:G56)</f>
        <v>171512131.41</v>
      </c>
    </row>
    <row r="58" spans="2:7">
      <c r="B58" s="5" t="s">
        <v>193</v>
      </c>
      <c r="C58" s="102" t="s">
        <v>194</v>
      </c>
      <c r="D58" s="79"/>
      <c r="E58" s="138" t="s">
        <v>195</v>
      </c>
      <c r="F58" s="80" t="s">
        <v>196</v>
      </c>
      <c r="G58" s="81">
        <v>133971314</v>
      </c>
    </row>
    <row r="59" spans="2:7">
      <c r="B59" s="5" t="s">
        <v>197</v>
      </c>
      <c r="C59" s="78" t="s">
        <v>198</v>
      </c>
      <c r="D59" s="84"/>
      <c r="E59" s="138" t="s">
        <v>199</v>
      </c>
      <c r="F59" s="78" t="s">
        <v>200</v>
      </c>
      <c r="G59" s="79">
        <v>4688191</v>
      </c>
    </row>
    <row r="60" spans="2:7" ht="16.5" thickBot="1">
      <c r="B60" s="5"/>
      <c r="C60" s="85" t="s">
        <v>201</v>
      </c>
      <c r="D60" s="86">
        <f>SUM(D56:D59)</f>
        <v>0</v>
      </c>
      <c r="E60" s="138" t="s">
        <v>202</v>
      </c>
      <c r="F60" s="78" t="s">
        <v>203</v>
      </c>
      <c r="G60" s="79">
        <v>836787.03</v>
      </c>
    </row>
    <row r="61" spans="2:7" ht="16.5" thickBot="1">
      <c r="B61" s="15"/>
      <c r="C61" s="72" t="s">
        <v>204</v>
      </c>
      <c r="D61" s="103">
        <f>D53+D60</f>
        <v>2574554527.5404949</v>
      </c>
      <c r="E61" s="138" t="s">
        <v>205</v>
      </c>
      <c r="F61" s="78" t="s">
        <v>206</v>
      </c>
      <c r="G61" s="79">
        <v>1004128.88</v>
      </c>
    </row>
    <row r="62" spans="2:7">
      <c r="B62" s="16"/>
      <c r="C62" s="116"/>
      <c r="D62" s="116"/>
      <c r="E62" s="138" t="s">
        <v>207</v>
      </c>
      <c r="F62" s="78" t="s">
        <v>208</v>
      </c>
      <c r="G62" s="79">
        <v>0</v>
      </c>
    </row>
    <row r="63" spans="2:7">
      <c r="B63" s="17"/>
      <c r="C63" s="222" t="s">
        <v>8</v>
      </c>
      <c r="D63" s="222"/>
      <c r="E63" s="138" t="s">
        <v>209</v>
      </c>
      <c r="F63" s="78" t="s">
        <v>210</v>
      </c>
      <c r="G63" s="79">
        <v>7869285.6899999995</v>
      </c>
    </row>
    <row r="64" spans="2:7">
      <c r="B64" s="18" t="s">
        <v>211</v>
      </c>
      <c r="C64" s="223" t="s">
        <v>212</v>
      </c>
      <c r="D64" s="223">
        <f>[16]Amortizaciones!D6</f>
        <v>34616549</v>
      </c>
      <c r="E64" s="138" t="s">
        <v>213</v>
      </c>
      <c r="F64" s="78" t="s">
        <v>214</v>
      </c>
      <c r="G64" s="79">
        <v>10728361.43</v>
      </c>
    </row>
    <row r="65" spans="2:7">
      <c r="B65" s="18" t="s">
        <v>215</v>
      </c>
      <c r="C65" s="223" t="s">
        <v>216</v>
      </c>
      <c r="D65" s="223">
        <f>[16]Amortizaciones!D7</f>
        <v>0</v>
      </c>
      <c r="E65" s="138" t="s">
        <v>217</v>
      </c>
      <c r="F65" s="78" t="s">
        <v>218</v>
      </c>
      <c r="G65" s="79">
        <v>32401683.379999988</v>
      </c>
    </row>
    <row r="66" spans="2:7">
      <c r="B66" s="18" t="s">
        <v>219</v>
      </c>
      <c r="C66" s="223" t="s">
        <v>220</v>
      </c>
      <c r="D66" s="223">
        <f>[16]Amortizaciones!D8</f>
        <v>26346506</v>
      </c>
      <c r="E66" s="138" t="s">
        <v>221</v>
      </c>
      <c r="F66" s="78" t="s">
        <v>222</v>
      </c>
      <c r="G66" s="79">
        <v>131471.65</v>
      </c>
    </row>
    <row r="67" spans="2:7">
      <c r="B67" s="18" t="s">
        <v>223</v>
      </c>
      <c r="C67" s="223" t="s">
        <v>224</v>
      </c>
      <c r="D67" s="223">
        <f>[16]Amortizaciones!D9</f>
        <v>0</v>
      </c>
      <c r="E67" s="138" t="s">
        <v>225</v>
      </c>
      <c r="F67" s="78" t="s">
        <v>226</v>
      </c>
      <c r="G67" s="79">
        <v>9370294.1999999993</v>
      </c>
    </row>
    <row r="68" spans="2:7">
      <c r="B68" s="18" t="s">
        <v>227</v>
      </c>
      <c r="C68" s="223" t="s">
        <v>228</v>
      </c>
      <c r="D68" s="223">
        <f>[16]Amortizaciones!D10</f>
        <v>218053</v>
      </c>
      <c r="E68" s="138" t="s">
        <v>229</v>
      </c>
      <c r="F68" s="78" t="s">
        <v>230</v>
      </c>
      <c r="G68" s="79">
        <v>0</v>
      </c>
    </row>
    <row r="69" spans="2:7">
      <c r="B69" s="18" t="s">
        <v>231</v>
      </c>
      <c r="C69" s="223" t="s">
        <v>232</v>
      </c>
      <c r="D69" s="223">
        <f>[16]Amortizaciones!D11</f>
        <v>266810</v>
      </c>
      <c r="E69" s="138" t="s">
        <v>233</v>
      </c>
      <c r="F69" s="78" t="s">
        <v>234</v>
      </c>
      <c r="G69" s="79">
        <v>2209140.2700000005</v>
      </c>
    </row>
    <row r="70" spans="2:7">
      <c r="B70" s="18" t="s">
        <v>235</v>
      </c>
      <c r="C70" s="223" t="s">
        <v>236</v>
      </c>
      <c r="D70" s="223">
        <f>[16]Amortizaciones!D12</f>
        <v>1242201</v>
      </c>
      <c r="E70" s="138" t="s">
        <v>237</v>
      </c>
      <c r="F70" s="78" t="s">
        <v>238</v>
      </c>
      <c r="G70" s="79">
        <v>0</v>
      </c>
    </row>
    <row r="71" spans="2:7">
      <c r="B71" s="18" t="s">
        <v>239</v>
      </c>
      <c r="C71" s="223" t="s">
        <v>240</v>
      </c>
      <c r="D71" s="223">
        <f>[16]Amortizaciones!D13</f>
        <v>1952664</v>
      </c>
      <c r="E71" s="138" t="s">
        <v>241</v>
      </c>
      <c r="F71" s="78" t="s">
        <v>242</v>
      </c>
      <c r="G71" s="79">
        <v>0</v>
      </c>
    </row>
    <row r="72" spans="2:7">
      <c r="B72" s="18" t="s">
        <v>243</v>
      </c>
      <c r="C72" s="223" t="s">
        <v>244</v>
      </c>
      <c r="D72" s="223">
        <f>[16]Amortizaciones!D14</f>
        <v>3147987</v>
      </c>
      <c r="E72" s="138" t="s">
        <v>245</v>
      </c>
      <c r="F72" s="78" t="s">
        <v>246</v>
      </c>
      <c r="G72" s="79">
        <v>0</v>
      </c>
    </row>
    <row r="73" spans="2:7">
      <c r="B73" s="18" t="s">
        <v>247</v>
      </c>
      <c r="C73" s="223" t="s">
        <v>248</v>
      </c>
      <c r="D73" s="223">
        <f>[16]Amortizaciones!D15</f>
        <v>0</v>
      </c>
      <c r="E73" s="138" t="s">
        <v>249</v>
      </c>
      <c r="F73" s="78" t="s">
        <v>250</v>
      </c>
      <c r="G73" s="79">
        <v>2895487.78</v>
      </c>
    </row>
    <row r="74" spans="2:7">
      <c r="B74" s="18" t="s">
        <v>251</v>
      </c>
      <c r="C74" s="223" t="s">
        <v>252</v>
      </c>
      <c r="D74" s="223">
        <f>[16]Amortizaciones!D16</f>
        <v>821919</v>
      </c>
      <c r="E74" s="138" t="s">
        <v>253</v>
      </c>
      <c r="F74" s="78" t="s">
        <v>254</v>
      </c>
      <c r="G74" s="79">
        <v>0</v>
      </c>
    </row>
    <row r="75" spans="2:7">
      <c r="B75" s="18" t="s">
        <v>255</v>
      </c>
      <c r="C75" s="223" t="s">
        <v>256</v>
      </c>
      <c r="D75" s="223">
        <f>[16]Amortizaciones!D17</f>
        <v>0</v>
      </c>
      <c r="E75" s="138" t="s">
        <v>257</v>
      </c>
      <c r="F75" s="78" t="s">
        <v>258</v>
      </c>
      <c r="G75" s="79">
        <v>11232063.449999999</v>
      </c>
    </row>
    <row r="76" spans="2:7">
      <c r="B76" s="18" t="s">
        <v>259</v>
      </c>
      <c r="C76" s="223" t="s">
        <v>260</v>
      </c>
      <c r="D76" s="223">
        <f>[16]Amortizaciones!D18</f>
        <v>0</v>
      </c>
      <c r="E76" s="138" t="s">
        <v>261</v>
      </c>
      <c r="F76" s="78" t="s">
        <v>262</v>
      </c>
      <c r="G76" s="79">
        <v>7150236.4099999992</v>
      </c>
    </row>
    <row r="77" spans="2:7">
      <c r="B77" s="18" t="s">
        <v>263</v>
      </c>
      <c r="C77" s="223" t="s">
        <v>264</v>
      </c>
      <c r="D77" s="223">
        <f>SUM(D64:D76)</f>
        <v>68612689</v>
      </c>
      <c r="E77" s="138" t="s">
        <v>265</v>
      </c>
      <c r="F77" s="78" t="s">
        <v>266</v>
      </c>
      <c r="G77" s="79">
        <v>98211077</v>
      </c>
    </row>
    <row r="78" spans="2:7">
      <c r="B78" s="18"/>
      <c r="C78" s="223"/>
      <c r="D78" s="223"/>
      <c r="E78" s="138" t="s">
        <v>267</v>
      </c>
      <c r="F78" s="78" t="s">
        <v>268</v>
      </c>
      <c r="G78" s="84">
        <v>11073632</v>
      </c>
    </row>
    <row r="79" spans="2:7" ht="16.5" thickBot="1">
      <c r="B79" s="18"/>
      <c r="C79" s="222" t="s">
        <v>269</v>
      </c>
      <c r="D79" s="224"/>
      <c r="E79" s="138"/>
      <c r="F79" s="85" t="s">
        <v>270</v>
      </c>
      <c r="G79" s="86">
        <f>SUM(G58:G78)</f>
        <v>333773154.16999996</v>
      </c>
    </row>
    <row r="80" spans="2:7">
      <c r="B80" s="18" t="s">
        <v>271</v>
      </c>
      <c r="C80" s="223" t="s">
        <v>236</v>
      </c>
      <c r="D80" s="223">
        <f>[16]Amortizaciones!D22</f>
        <v>0</v>
      </c>
      <c r="E80" s="138" t="s">
        <v>272</v>
      </c>
      <c r="F80" s="80" t="s">
        <v>273</v>
      </c>
      <c r="G80" s="81">
        <v>0</v>
      </c>
    </row>
    <row r="81" spans="2:7">
      <c r="B81" s="18" t="s">
        <v>274</v>
      </c>
      <c r="C81" s="223" t="s">
        <v>240</v>
      </c>
      <c r="D81" s="223">
        <f>[16]Amortizaciones!D23</f>
        <v>0</v>
      </c>
      <c r="E81" s="138" t="s">
        <v>275</v>
      </c>
      <c r="F81" s="78" t="s">
        <v>276</v>
      </c>
      <c r="G81" s="79">
        <v>31209885.080000006</v>
      </c>
    </row>
    <row r="82" spans="2:7">
      <c r="B82" s="18" t="s">
        <v>277</v>
      </c>
      <c r="C82" s="223" t="s">
        <v>244</v>
      </c>
      <c r="D82" s="223">
        <f>[16]Amortizaciones!D24</f>
        <v>0</v>
      </c>
      <c r="E82" s="138" t="s">
        <v>278</v>
      </c>
      <c r="F82" s="78" t="s">
        <v>279</v>
      </c>
      <c r="G82" s="79">
        <v>6290505</v>
      </c>
    </row>
    <row r="83" spans="2:7">
      <c r="B83" s="18" t="s">
        <v>280</v>
      </c>
      <c r="C83" s="223" t="s">
        <v>248</v>
      </c>
      <c r="D83" s="223">
        <f>[16]Amortizaciones!D25</f>
        <v>0</v>
      </c>
      <c r="E83" s="138" t="s">
        <v>281</v>
      </c>
      <c r="F83" s="78" t="s">
        <v>282</v>
      </c>
      <c r="G83" s="79">
        <v>6836575</v>
      </c>
    </row>
    <row r="84" spans="2:7">
      <c r="B84" s="18" t="s">
        <v>283</v>
      </c>
      <c r="C84" s="223" t="s">
        <v>284</v>
      </c>
      <c r="D84" s="223">
        <v>0</v>
      </c>
      <c r="E84" s="138" t="s">
        <v>285</v>
      </c>
      <c r="F84" s="78" t="s">
        <v>286</v>
      </c>
      <c r="G84" s="79">
        <v>14878737</v>
      </c>
    </row>
    <row r="85" spans="2:7">
      <c r="B85" s="18" t="s">
        <v>287</v>
      </c>
      <c r="C85" s="223" t="s">
        <v>288</v>
      </c>
      <c r="D85" s="223">
        <f>[16]Amortizaciones!D27</f>
        <v>0</v>
      </c>
      <c r="E85" s="138" t="s">
        <v>289</v>
      </c>
      <c r="F85" s="78" t="s">
        <v>290</v>
      </c>
      <c r="G85" s="79">
        <v>10770577</v>
      </c>
    </row>
    <row r="86" spans="2:7" ht="13.5" customHeight="1">
      <c r="B86" s="18" t="s">
        <v>291</v>
      </c>
      <c r="C86" s="223" t="s">
        <v>292</v>
      </c>
      <c r="D86" s="223">
        <f>[16]Amortizaciones!D28</f>
        <v>0</v>
      </c>
      <c r="E86" s="138" t="s">
        <v>293</v>
      </c>
      <c r="F86" s="78" t="s">
        <v>294</v>
      </c>
      <c r="G86" s="79">
        <v>270834</v>
      </c>
    </row>
    <row r="87" spans="2:7" ht="13.5" customHeight="1">
      <c r="B87" s="18" t="s">
        <v>295</v>
      </c>
      <c r="C87" s="223" t="s">
        <v>296</v>
      </c>
      <c r="D87" s="223">
        <f>[16]Amortizaciones!D29</f>
        <v>0</v>
      </c>
      <c r="E87" s="138" t="s">
        <v>297</v>
      </c>
      <c r="F87" s="78" t="s">
        <v>298</v>
      </c>
      <c r="G87" s="79">
        <v>6715652</v>
      </c>
    </row>
    <row r="88" spans="2:7" ht="13.5" customHeight="1">
      <c r="B88" s="18" t="s">
        <v>299</v>
      </c>
      <c r="C88" s="223" t="s">
        <v>300</v>
      </c>
      <c r="D88" s="223">
        <f>[16]Amortizaciones!D30</f>
        <v>0</v>
      </c>
      <c r="E88" s="138" t="s">
        <v>301</v>
      </c>
      <c r="F88" s="78" t="s">
        <v>302</v>
      </c>
      <c r="G88" s="79">
        <v>11076690</v>
      </c>
    </row>
    <row r="89" spans="2:7">
      <c r="B89" s="18" t="s">
        <v>303</v>
      </c>
      <c r="C89" s="223" t="s">
        <v>212</v>
      </c>
      <c r="D89" s="223">
        <f>[16]Amortizaciones!D31</f>
        <v>0</v>
      </c>
      <c r="E89" s="138" t="s">
        <v>304</v>
      </c>
      <c r="F89" s="78" t="s">
        <v>305</v>
      </c>
      <c r="G89" s="79">
        <v>22584998</v>
      </c>
    </row>
    <row r="90" spans="2:7" ht="14.25" customHeight="1">
      <c r="B90" s="18" t="s">
        <v>306</v>
      </c>
      <c r="C90" s="223" t="s">
        <v>228</v>
      </c>
      <c r="D90" s="223">
        <f>[16]Amortizaciones!D32</f>
        <v>0</v>
      </c>
      <c r="E90" s="138" t="s">
        <v>307</v>
      </c>
      <c r="F90" s="78" t="s">
        <v>308</v>
      </c>
      <c r="G90" s="79">
        <v>0</v>
      </c>
    </row>
    <row r="91" spans="2:7" ht="14.25" customHeight="1">
      <c r="B91" s="18" t="s">
        <v>309</v>
      </c>
      <c r="C91" s="223" t="s">
        <v>310</v>
      </c>
      <c r="D91" s="223">
        <f>SUM(D80:D90)</f>
        <v>0</v>
      </c>
      <c r="E91" s="225" t="s">
        <v>311</v>
      </c>
      <c r="F91" s="78" t="s">
        <v>312</v>
      </c>
      <c r="G91" s="79">
        <v>0</v>
      </c>
    </row>
    <row r="92" spans="2:7" ht="14.25" customHeight="1">
      <c r="B92" s="18"/>
      <c r="C92" s="226" t="s">
        <v>313</v>
      </c>
      <c r="D92" s="223">
        <f>D77+D91</f>
        <v>68612689</v>
      </c>
      <c r="E92" s="225" t="s">
        <v>314</v>
      </c>
      <c r="F92" s="78" t="s">
        <v>315</v>
      </c>
      <c r="G92" s="79">
        <v>0</v>
      </c>
    </row>
    <row r="93" spans="2:7">
      <c r="C93" s="116"/>
      <c r="D93" s="116"/>
      <c r="E93" s="225" t="s">
        <v>316</v>
      </c>
      <c r="F93" s="78" t="s">
        <v>317</v>
      </c>
      <c r="G93" s="79">
        <v>763096</v>
      </c>
    </row>
    <row r="94" spans="2:7">
      <c r="C94" s="116"/>
      <c r="D94" s="116"/>
      <c r="E94" s="225" t="s">
        <v>318</v>
      </c>
      <c r="F94" s="78" t="s">
        <v>319</v>
      </c>
      <c r="G94" s="84">
        <v>3521789</v>
      </c>
    </row>
    <row r="95" spans="2:7" ht="13.5" customHeight="1" thickBot="1">
      <c r="C95" s="116"/>
      <c r="D95" s="116"/>
      <c r="E95" s="138"/>
      <c r="F95" s="85" t="s">
        <v>320</v>
      </c>
      <c r="G95" s="86">
        <f>SUM(G80:G94)</f>
        <v>114919338.08000001</v>
      </c>
    </row>
    <row r="96" spans="2:7">
      <c r="C96" s="116"/>
      <c r="D96" s="116"/>
      <c r="E96" s="225" t="s">
        <v>321</v>
      </c>
      <c r="F96" s="80" t="s">
        <v>322</v>
      </c>
      <c r="G96" s="81">
        <v>12994540</v>
      </c>
    </row>
    <row r="97" spans="2:7">
      <c r="C97" s="116"/>
      <c r="D97" s="116"/>
      <c r="E97" s="225" t="s">
        <v>323</v>
      </c>
      <c r="F97" s="78" t="s">
        <v>324</v>
      </c>
      <c r="G97" s="79">
        <v>4172693</v>
      </c>
    </row>
    <row r="98" spans="2:7">
      <c r="C98" s="116"/>
      <c r="D98" s="116"/>
      <c r="E98" s="225" t="s">
        <v>325</v>
      </c>
      <c r="F98" s="78" t="s">
        <v>326</v>
      </c>
      <c r="G98" s="79">
        <v>2609440</v>
      </c>
    </row>
    <row r="99" spans="2:7">
      <c r="C99" s="116"/>
      <c r="D99" s="116"/>
      <c r="E99" s="225" t="s">
        <v>327</v>
      </c>
      <c r="F99" s="78" t="s">
        <v>328</v>
      </c>
      <c r="G99" s="79">
        <v>4477586</v>
      </c>
    </row>
    <row r="100" spans="2:7">
      <c r="C100" s="116"/>
      <c r="D100" s="116"/>
      <c r="E100" s="225" t="s">
        <v>329</v>
      </c>
      <c r="F100" s="78" t="s">
        <v>330</v>
      </c>
      <c r="G100" s="84">
        <v>774618</v>
      </c>
    </row>
    <row r="101" spans="2:7" ht="12.75" customHeight="1" thickBot="1">
      <c r="C101" s="116"/>
      <c r="D101" s="116"/>
      <c r="E101" s="138"/>
      <c r="F101" s="85" t="s">
        <v>331</v>
      </c>
      <c r="G101" s="86">
        <f>SUM(G96:G100)</f>
        <v>25028877</v>
      </c>
    </row>
    <row r="102" spans="2:7" ht="12.75" customHeight="1" thickBot="1">
      <c r="C102" s="116"/>
      <c r="D102" s="116"/>
      <c r="E102" s="225"/>
      <c r="F102" s="110" t="s">
        <v>332</v>
      </c>
      <c r="G102" s="111">
        <f>[16]Amortizaciones!D19</f>
        <v>68612689</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2407454769.5</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167099758.04049492</v>
      </c>
    </row>
    <row r="110" spans="2:7" ht="6.75" customHeight="1" thickBot="1">
      <c r="B110" s="5"/>
      <c r="C110" s="227"/>
      <c r="D110" s="227"/>
      <c r="E110" s="138"/>
      <c r="F110" s="116"/>
      <c r="G110" s="116"/>
    </row>
    <row r="111" spans="2:7" ht="15" customHeight="1" thickBot="1">
      <c r="C111" s="72" t="s">
        <v>269</v>
      </c>
      <c r="D111" s="118">
        <f>+[16]E.S.P.!D6</f>
        <v>2021</v>
      </c>
      <c r="E111" s="225"/>
      <c r="F111" s="72" t="s">
        <v>340</v>
      </c>
      <c r="G111" s="118">
        <f>+[16]E.S.P.!D6</f>
        <v>2021</v>
      </c>
    </row>
    <row r="112" spans="2:7" ht="13.7" customHeight="1">
      <c r="B112" s="5" t="s">
        <v>341</v>
      </c>
      <c r="C112" s="119" t="s">
        <v>342</v>
      </c>
      <c r="D112" s="120">
        <v>10639858.239999998</v>
      </c>
      <c r="E112" s="138" t="s">
        <v>343</v>
      </c>
      <c r="F112" s="119" t="s">
        <v>308</v>
      </c>
      <c r="G112" s="120">
        <v>0</v>
      </c>
    </row>
    <row r="113" spans="2:7" ht="13.7" customHeight="1">
      <c r="B113" s="5" t="s">
        <v>344</v>
      </c>
      <c r="C113" s="121" t="s">
        <v>345</v>
      </c>
      <c r="D113" s="122">
        <v>64142081.86999999</v>
      </c>
      <c r="E113" s="138" t="s">
        <v>346</v>
      </c>
      <c r="F113" s="121" t="s">
        <v>347</v>
      </c>
      <c r="G113" s="122">
        <v>0</v>
      </c>
    </row>
    <row r="114" spans="2:7" ht="13.7" customHeight="1">
      <c r="B114" s="5" t="s">
        <v>348</v>
      </c>
      <c r="C114" s="121" t="s">
        <v>48</v>
      </c>
      <c r="D114" s="122">
        <v>13006913.85</v>
      </c>
      <c r="E114" s="138" t="s">
        <v>349</v>
      </c>
      <c r="F114" s="121" t="s">
        <v>350</v>
      </c>
      <c r="G114" s="122">
        <v>0</v>
      </c>
    </row>
    <row r="115" spans="2:7" ht="13.7" customHeight="1">
      <c r="B115" s="5" t="s">
        <v>351</v>
      </c>
      <c r="C115" s="121" t="s">
        <v>352</v>
      </c>
      <c r="D115" s="122">
        <v>0</v>
      </c>
      <c r="E115" s="138" t="s">
        <v>353</v>
      </c>
      <c r="F115" s="121" t="s">
        <v>354</v>
      </c>
      <c r="G115" s="122">
        <v>1393242</v>
      </c>
    </row>
    <row r="116" spans="2:7" ht="13.7" customHeight="1">
      <c r="B116" s="5" t="s">
        <v>355</v>
      </c>
      <c r="C116" s="121" t="s">
        <v>356</v>
      </c>
      <c r="D116" s="122">
        <v>0</v>
      </c>
      <c r="E116" s="138" t="s">
        <v>357</v>
      </c>
      <c r="F116" s="121" t="s">
        <v>358</v>
      </c>
      <c r="G116" s="122"/>
    </row>
    <row r="117" spans="2:7" ht="13.7" customHeight="1">
      <c r="B117" s="5" t="s">
        <v>359</v>
      </c>
      <c r="C117" s="121" t="s">
        <v>360</v>
      </c>
      <c r="D117" s="122">
        <v>0</v>
      </c>
      <c r="E117" s="138" t="s">
        <v>361</v>
      </c>
      <c r="F117" s="121" t="s">
        <v>362</v>
      </c>
      <c r="G117" s="122">
        <v>583060</v>
      </c>
    </row>
    <row r="118" spans="2:7" ht="13.7" customHeight="1">
      <c r="B118" s="5" t="s">
        <v>363</v>
      </c>
      <c r="C118" s="121" t="s">
        <v>364</v>
      </c>
      <c r="D118" s="122">
        <v>0</v>
      </c>
      <c r="E118" s="138" t="s">
        <v>365</v>
      </c>
      <c r="F118" s="121" t="s">
        <v>366</v>
      </c>
      <c r="G118" s="122">
        <v>0</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3003300</v>
      </c>
      <c r="E121" s="138" t="s">
        <v>377</v>
      </c>
      <c r="F121" s="121" t="s">
        <v>378</v>
      </c>
      <c r="G121" s="122">
        <v>656963</v>
      </c>
    </row>
    <row r="122" spans="2:7" ht="13.7" customHeight="1" thickBot="1">
      <c r="B122" s="5"/>
      <c r="C122" s="85" t="s">
        <v>379</v>
      </c>
      <c r="D122" s="94">
        <f>SUM(D112:D121)</f>
        <v>90792153.959999979</v>
      </c>
      <c r="E122" s="138" t="s">
        <v>380</v>
      </c>
      <c r="F122" s="78" t="s">
        <v>381</v>
      </c>
      <c r="G122" s="79">
        <v>100863</v>
      </c>
    </row>
    <row r="123" spans="2:7" ht="13.7" customHeight="1" thickBot="1">
      <c r="B123" s="5" t="s">
        <v>382</v>
      </c>
      <c r="C123" s="123" t="s">
        <v>308</v>
      </c>
      <c r="D123" s="120">
        <v>571547</v>
      </c>
      <c r="E123" s="225"/>
      <c r="F123" s="85" t="s">
        <v>383</v>
      </c>
      <c r="G123" s="94">
        <f>SUM(G112:G122)</f>
        <v>2734128</v>
      </c>
    </row>
    <row r="124" spans="2:7" ht="13.7" customHeight="1">
      <c r="B124" s="5" t="s">
        <v>384</v>
      </c>
      <c r="C124" s="121" t="s">
        <v>312</v>
      </c>
      <c r="D124" s="122">
        <v>1800475.4</v>
      </c>
      <c r="E124" s="138" t="s">
        <v>385</v>
      </c>
      <c r="F124" s="121" t="s">
        <v>386</v>
      </c>
      <c r="G124" s="122">
        <v>37261</v>
      </c>
    </row>
    <row r="125" spans="2:7" ht="13.7" customHeight="1">
      <c r="B125" s="5" t="s">
        <v>387</v>
      </c>
      <c r="C125" s="78" t="s">
        <v>388</v>
      </c>
      <c r="D125" s="122">
        <v>74301</v>
      </c>
      <c r="E125" s="138" t="s">
        <v>389</v>
      </c>
      <c r="F125" s="121" t="s">
        <v>390</v>
      </c>
      <c r="G125" s="122">
        <v>299077</v>
      </c>
    </row>
    <row r="126" spans="2:7" ht="13.7" customHeight="1" thickBot="1">
      <c r="B126" s="5"/>
      <c r="C126" s="85" t="s">
        <v>391</v>
      </c>
      <c r="D126" s="94">
        <f>SUM(D123:D125)</f>
        <v>2446323.4</v>
      </c>
      <c r="E126" s="138" t="s">
        <v>392</v>
      </c>
      <c r="F126" s="121" t="s">
        <v>393</v>
      </c>
      <c r="G126" s="122">
        <v>2536413</v>
      </c>
    </row>
    <row r="127" spans="2:7" ht="13.7" customHeight="1">
      <c r="B127" s="5" t="s">
        <v>394</v>
      </c>
      <c r="C127" s="119" t="s">
        <v>273</v>
      </c>
      <c r="D127" s="122">
        <v>4169477.8</v>
      </c>
      <c r="E127" s="138" t="s">
        <v>395</v>
      </c>
      <c r="F127" s="121" t="s">
        <v>396</v>
      </c>
      <c r="G127" s="122">
        <v>0</v>
      </c>
    </row>
    <row r="128" spans="2:7" ht="13.7" customHeight="1">
      <c r="B128" s="5" t="s">
        <v>397</v>
      </c>
      <c r="C128" s="121" t="s">
        <v>398</v>
      </c>
      <c r="D128" s="122">
        <v>6056307</v>
      </c>
      <c r="E128" s="138" t="s">
        <v>399</v>
      </c>
      <c r="F128" s="121" t="s">
        <v>400</v>
      </c>
      <c r="G128" s="122">
        <v>0</v>
      </c>
    </row>
    <row r="129" spans="2:7" ht="13.7" customHeight="1">
      <c r="B129" s="5" t="s">
        <v>401</v>
      </c>
      <c r="C129" s="121" t="s">
        <v>276</v>
      </c>
      <c r="D129" s="122"/>
      <c r="E129" s="138" t="s">
        <v>402</v>
      </c>
      <c r="F129" s="121" t="s">
        <v>403</v>
      </c>
      <c r="G129" s="122">
        <v>4208297</v>
      </c>
    </row>
    <row r="130" spans="2:7" ht="13.7" customHeight="1">
      <c r="B130" s="5" t="s">
        <v>404</v>
      </c>
      <c r="C130" s="121" t="s">
        <v>282</v>
      </c>
      <c r="D130" s="122"/>
      <c r="E130" s="138" t="s">
        <v>405</v>
      </c>
      <c r="F130" s="121" t="s">
        <v>406</v>
      </c>
      <c r="G130" s="122">
        <v>0</v>
      </c>
    </row>
    <row r="131" spans="2:7" ht="13.7" customHeight="1">
      <c r="B131" s="5" t="s">
        <v>407</v>
      </c>
      <c r="C131" s="121" t="s">
        <v>286</v>
      </c>
      <c r="D131" s="122"/>
      <c r="E131" s="138" t="s">
        <v>408</v>
      </c>
      <c r="F131" s="121" t="s">
        <v>409</v>
      </c>
      <c r="G131" s="122">
        <v>0</v>
      </c>
    </row>
    <row r="132" spans="2:7" ht="13.7" customHeight="1">
      <c r="B132" s="5" t="s">
        <v>410</v>
      </c>
      <c r="C132" s="121" t="s">
        <v>290</v>
      </c>
      <c r="D132" s="122"/>
      <c r="E132" s="138" t="s">
        <v>411</v>
      </c>
      <c r="F132" s="121" t="s">
        <v>412</v>
      </c>
      <c r="G132" s="122">
        <v>0</v>
      </c>
    </row>
    <row r="133" spans="2:7" ht="13.7" customHeight="1">
      <c r="B133" s="5" t="s">
        <v>413</v>
      </c>
      <c r="C133" s="121" t="s">
        <v>294</v>
      </c>
      <c r="D133" s="122"/>
      <c r="E133" s="138" t="s">
        <v>414</v>
      </c>
      <c r="F133" s="121" t="s">
        <v>415</v>
      </c>
      <c r="G133" s="122">
        <v>0</v>
      </c>
    </row>
    <row r="134" spans="2:7" ht="13.7" customHeight="1">
      <c r="B134" s="5" t="s">
        <v>416</v>
      </c>
      <c r="C134" s="121" t="s">
        <v>417</v>
      </c>
      <c r="D134" s="122">
        <v>3096592</v>
      </c>
      <c r="E134" s="138" t="s">
        <v>418</v>
      </c>
      <c r="F134" s="121" t="s">
        <v>419</v>
      </c>
      <c r="G134" s="122">
        <v>0</v>
      </c>
    </row>
    <row r="135" spans="2:7" ht="13.7" customHeight="1">
      <c r="B135" s="5" t="s">
        <v>420</v>
      </c>
      <c r="C135" s="121" t="s">
        <v>421</v>
      </c>
      <c r="D135" s="122">
        <v>20562989</v>
      </c>
      <c r="E135" s="138" t="s">
        <v>422</v>
      </c>
      <c r="F135" s="121" t="s">
        <v>423</v>
      </c>
      <c r="G135" s="122">
        <v>0</v>
      </c>
    </row>
    <row r="136" spans="2:7" ht="13.7" customHeight="1">
      <c r="B136" s="5" t="s">
        <v>424</v>
      </c>
      <c r="C136" s="121" t="s">
        <v>317</v>
      </c>
      <c r="D136" s="122">
        <v>4948524</v>
      </c>
      <c r="E136" s="138" t="s">
        <v>425</v>
      </c>
      <c r="F136" s="121" t="s">
        <v>426</v>
      </c>
      <c r="G136" s="122">
        <v>440371</v>
      </c>
    </row>
    <row r="137" spans="2:7" ht="13.7" customHeight="1">
      <c r="B137" s="5" t="s">
        <v>427</v>
      </c>
      <c r="C137" s="78" t="s">
        <v>319</v>
      </c>
      <c r="D137" s="124">
        <v>1296005</v>
      </c>
      <c r="E137" s="138" t="s">
        <v>428</v>
      </c>
      <c r="F137" s="121" t="s">
        <v>429</v>
      </c>
      <c r="G137" s="122">
        <v>5002802</v>
      </c>
    </row>
    <row r="138" spans="2:7" ht="13.7" customHeight="1" thickBot="1">
      <c r="B138" s="5"/>
      <c r="C138" s="85" t="s">
        <v>320</v>
      </c>
      <c r="D138" s="94">
        <f>SUM(D127:D137)</f>
        <v>40129894.799999997</v>
      </c>
      <c r="E138" s="138" t="s">
        <v>430</v>
      </c>
      <c r="F138" s="78" t="s">
        <v>431</v>
      </c>
      <c r="G138" s="79">
        <v>457402</v>
      </c>
    </row>
    <row r="139" spans="2:7" ht="13.7" customHeight="1" thickBot="1">
      <c r="B139" s="5" t="s">
        <v>432</v>
      </c>
      <c r="C139" s="119" t="s">
        <v>326</v>
      </c>
      <c r="D139" s="120">
        <v>0</v>
      </c>
      <c r="E139" s="228"/>
      <c r="F139" s="85" t="s">
        <v>433</v>
      </c>
      <c r="G139" s="94">
        <f>SUM(G124:G138)</f>
        <v>12981623</v>
      </c>
    </row>
    <row r="140" spans="2:7" ht="13.7" customHeight="1" thickBot="1">
      <c r="B140" s="5" t="s">
        <v>434</v>
      </c>
      <c r="C140" s="121" t="s">
        <v>328</v>
      </c>
      <c r="D140" s="122">
        <v>0</v>
      </c>
      <c r="E140" s="228"/>
      <c r="F140" s="110" t="s">
        <v>435</v>
      </c>
      <c r="G140" s="126">
        <f>G123-G139</f>
        <v>-10247495</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[16]Amortizaciones!D33</f>
        <v>0</v>
      </c>
      <c r="E143" s="138"/>
      <c r="F143" s="72" t="s">
        <v>437</v>
      </c>
      <c r="G143" s="118">
        <f>+[16]E.S.P.!D6</f>
        <v>2021</v>
      </c>
    </row>
    <row r="144" spans="2:7" ht="13.7" customHeight="1">
      <c r="B144" s="5" t="s">
        <v>438</v>
      </c>
      <c r="C144" s="119" t="s">
        <v>439</v>
      </c>
      <c r="D144" s="120">
        <v>0</v>
      </c>
      <c r="E144" s="138" t="s">
        <v>440</v>
      </c>
      <c r="F144" s="119" t="s">
        <v>441</v>
      </c>
      <c r="G144" s="120">
        <v>20478223</v>
      </c>
    </row>
    <row r="145" spans="2:7" ht="13.7" customHeight="1">
      <c r="B145" s="5" t="s">
        <v>442</v>
      </c>
      <c r="C145" s="121" t="s">
        <v>443</v>
      </c>
      <c r="D145" s="122">
        <v>0</v>
      </c>
      <c r="E145" s="138" t="s">
        <v>444</v>
      </c>
      <c r="F145" s="121" t="s">
        <v>445</v>
      </c>
      <c r="G145" s="122">
        <v>9199874</v>
      </c>
    </row>
    <row r="146" spans="2:7" ht="13.7" customHeight="1">
      <c r="B146" s="5" t="s">
        <v>446</v>
      </c>
      <c r="C146" s="128" t="s">
        <v>447</v>
      </c>
      <c r="D146" s="122">
        <v>0</v>
      </c>
      <c r="E146" s="138" t="s">
        <v>448</v>
      </c>
      <c r="F146" s="121" t="s">
        <v>449</v>
      </c>
      <c r="G146" s="122">
        <v>9304162</v>
      </c>
    </row>
    <row r="147" spans="2:7" ht="13.7" customHeight="1">
      <c r="B147" s="5" t="s">
        <v>450</v>
      </c>
      <c r="C147" s="78" t="s">
        <v>451</v>
      </c>
      <c r="D147" s="124">
        <v>0</v>
      </c>
      <c r="E147" s="138" t="s">
        <v>452</v>
      </c>
      <c r="F147" s="121" t="s">
        <v>453</v>
      </c>
      <c r="G147" s="122">
        <v>33938742</v>
      </c>
    </row>
    <row r="148" spans="2:7" ht="13.7" customHeight="1" thickBot="1">
      <c r="B148" s="5"/>
      <c r="C148" s="85" t="s">
        <v>518</v>
      </c>
      <c r="D148" s="94">
        <f>SUM(D144:D147)</f>
        <v>0</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0</v>
      </c>
    </row>
    <row r="152" spans="2:7" ht="13.7" customHeight="1" thickBot="1">
      <c r="B152" s="5"/>
      <c r="C152" s="85" t="s">
        <v>468</v>
      </c>
      <c r="D152" s="94">
        <f>SUM(D149:D151)</f>
        <v>0</v>
      </c>
      <c r="E152" s="138" t="s">
        <v>469</v>
      </c>
      <c r="F152" s="121" t="s">
        <v>470</v>
      </c>
      <c r="G152" s="122">
        <v>29819</v>
      </c>
    </row>
    <row r="153" spans="2:7" ht="15" customHeight="1" thickBot="1">
      <c r="B153" s="5"/>
      <c r="C153" s="110" t="s">
        <v>471</v>
      </c>
      <c r="D153" s="129">
        <f>D122+D126+D138+D142+D143+D148+D152</f>
        <v>133368372.15999998</v>
      </c>
      <c r="E153" s="138" t="s">
        <v>472</v>
      </c>
      <c r="F153" s="78" t="s">
        <v>473</v>
      </c>
      <c r="G153" s="79">
        <v>1200790</v>
      </c>
    </row>
    <row r="154" spans="2:7" ht="13.7" customHeight="1" thickBot="1">
      <c r="B154" s="5"/>
      <c r="C154" s="116"/>
      <c r="D154" s="116"/>
      <c r="E154" s="138"/>
      <c r="F154" s="85" t="s">
        <v>474</v>
      </c>
      <c r="G154" s="94">
        <f>SUM(G144:G153)</f>
        <v>74151610</v>
      </c>
    </row>
    <row r="155" spans="2:7" ht="13.5" customHeight="1" thickBot="1">
      <c r="B155" s="5"/>
      <c r="C155" s="72" t="s">
        <v>475</v>
      </c>
      <c r="D155" s="103">
        <f>G109-D153</f>
        <v>33731385.880494937</v>
      </c>
      <c r="E155" s="138" t="s">
        <v>476</v>
      </c>
      <c r="F155" s="119" t="s">
        <v>477</v>
      </c>
      <c r="G155" s="120">
        <v>0</v>
      </c>
    </row>
    <row r="156" spans="2:7" ht="13.7" customHeight="1">
      <c r="C156" s="116"/>
      <c r="D156" s="116"/>
      <c r="E156" s="138" t="s">
        <v>478</v>
      </c>
      <c r="F156" s="121" t="s">
        <v>479</v>
      </c>
      <c r="G156" s="122">
        <v>7252071</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48819830</v>
      </c>
    </row>
    <row r="166" spans="3:7" ht="13.7" customHeight="1">
      <c r="C166" s="116"/>
      <c r="D166" s="116"/>
      <c r="E166" s="138" t="s">
        <v>498</v>
      </c>
      <c r="F166" s="121" t="s">
        <v>499</v>
      </c>
      <c r="G166" s="122">
        <v>2352587</v>
      </c>
    </row>
    <row r="167" spans="3:7" ht="13.7" customHeight="1">
      <c r="C167" s="116"/>
      <c r="D167" s="116"/>
      <c r="E167" s="138" t="s">
        <v>500</v>
      </c>
      <c r="F167" s="78" t="s">
        <v>501</v>
      </c>
      <c r="G167" s="79">
        <v>155537</v>
      </c>
    </row>
    <row r="168" spans="3:7" ht="13.7" customHeight="1" thickBot="1">
      <c r="C168" s="116"/>
      <c r="D168" s="116"/>
      <c r="E168" s="138"/>
      <c r="F168" s="85" t="s">
        <v>502</v>
      </c>
      <c r="G168" s="94">
        <f>SUM(G155:G167)</f>
        <v>58580025</v>
      </c>
    </row>
    <row r="169" spans="3:7" ht="13.7" customHeight="1" thickBot="1">
      <c r="C169" s="116"/>
      <c r="D169" s="116"/>
      <c r="E169" s="138"/>
      <c r="F169" s="110" t="s">
        <v>503</v>
      </c>
      <c r="G169" s="126">
        <f>G154-G168</f>
        <v>15571585</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39055475.880494937</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14326584</v>
      </c>
    </row>
    <row r="177" spans="1:8" ht="13.7" customHeight="1" thickBot="1">
      <c r="C177" s="116"/>
      <c r="D177" s="116"/>
      <c r="E177" s="138"/>
      <c r="F177" s="121" t="s">
        <v>508</v>
      </c>
      <c r="G177" s="122">
        <v>0</v>
      </c>
    </row>
    <row r="178" spans="1:8" ht="13.7" customHeight="1" thickBot="1">
      <c r="C178" s="116"/>
      <c r="D178" s="116"/>
      <c r="E178" s="138"/>
      <c r="F178" s="72" t="s">
        <v>509</v>
      </c>
      <c r="G178" s="103">
        <f>SUM(G175:G177)</f>
        <v>14326584</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53382059.880494937</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374" priority="2" stopIfTrue="1" operator="greaterThan">
      <formula>50</formula>
    </cfRule>
    <cfRule type="cellIs" dxfId="373" priority="11" stopIfTrue="1" operator="equal">
      <formula>0</formula>
    </cfRule>
  </conditionalFormatting>
  <conditionalFormatting sqref="D7:D61">
    <cfRule type="cellIs" dxfId="372" priority="9" stopIfTrue="1" operator="between">
      <formula>-0.1</formula>
      <formula>-50</formula>
    </cfRule>
    <cfRule type="cellIs" dxfId="371" priority="10" stopIfTrue="1" operator="between">
      <formula>0.1</formula>
      <formula>50</formula>
    </cfRule>
  </conditionalFormatting>
  <conditionalFormatting sqref="G152:G181 G7:G150">
    <cfRule type="cellIs" dxfId="370" priority="7" stopIfTrue="1" operator="between">
      <formula>-0.1</formula>
      <formula>-50</formula>
    </cfRule>
    <cfRule type="cellIs" dxfId="369" priority="8" stopIfTrue="1" operator="between">
      <formula>0.1</formula>
      <formula>50</formula>
    </cfRule>
  </conditionalFormatting>
  <conditionalFormatting sqref="D111:D155">
    <cfRule type="cellIs" dxfId="368" priority="5" stopIfTrue="1" operator="between">
      <formula>-0.1</formula>
      <formula>-50</formula>
    </cfRule>
    <cfRule type="cellIs" dxfId="367" priority="6" stopIfTrue="1" operator="between">
      <formula>0.1</formula>
      <formula>50</formula>
    </cfRule>
  </conditionalFormatting>
  <conditionalFormatting sqref="G165">
    <cfRule type="expression" dxfId="366" priority="4" stopIfTrue="1">
      <formula>AND($G$165&gt;0,$G$151&gt;0)</formula>
    </cfRule>
  </conditionalFormatting>
  <conditionalFormatting sqref="G151">
    <cfRule type="expression" dxfId="36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55" unlockedFormula="1"/>
    <ignoredError sqref="G40"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topLeftCell="A151" zoomScaleNormal="100" zoomScaleSheetLayoutView="100" workbookViewId="0">
      <selection activeCell="C171" sqref="C171"/>
    </sheetView>
  </sheetViews>
  <sheetFormatPr baseColWidth="10" defaultColWidth="0" defaultRowHeight="15.75" zeroHeight="1"/>
  <cols>
    <col min="1" max="1" width="3" style="1" customWidth="1"/>
    <col min="2" max="2" width="14.28515625" style="6" hidden="1" customWidth="1"/>
    <col min="3" max="3" width="57.140625" style="19" customWidth="1"/>
    <col min="4" max="4" width="21" style="19" customWidth="1"/>
    <col min="5" max="5" width="3.85546875" style="13" customWidth="1"/>
    <col min="6" max="6" width="57.28515625" style="19" customWidth="1"/>
    <col min="7" max="7" width="21" style="19" customWidth="1"/>
    <col min="8" max="8" width="3.5703125" style="4" customWidth="1"/>
    <col min="9" max="16384" width="0" style="4" hidden="1"/>
  </cols>
  <sheetData>
    <row r="1" spans="1:9">
      <c r="B1" s="2"/>
      <c r="C1" s="255" t="s">
        <v>0</v>
      </c>
      <c r="D1" s="258"/>
      <c r="E1" s="253" t="str">
        <f>[17]Presentacion!C3</f>
        <v>CAMCEL - IAMPP</v>
      </c>
      <c r="F1" s="253"/>
      <c r="G1" s="136"/>
      <c r="H1" s="3"/>
    </row>
    <row r="2" spans="1:9">
      <c r="B2" s="5"/>
      <c r="C2" s="255" t="s">
        <v>1</v>
      </c>
      <c r="D2" s="258"/>
      <c r="E2" s="253" t="str">
        <f>[17]Presentacion!C4</f>
        <v>Cerro Largo</v>
      </c>
      <c r="F2" s="253"/>
      <c r="G2" s="136"/>
      <c r="H2" s="3"/>
    </row>
    <row r="3" spans="1:9">
      <c r="B3" s="5"/>
      <c r="C3" s="255" t="s">
        <v>2</v>
      </c>
      <c r="D3" s="255"/>
      <c r="E3" s="254" t="s">
        <v>3</v>
      </c>
      <c r="F3" s="254"/>
      <c r="G3" s="136"/>
      <c r="H3" s="3"/>
    </row>
    <row r="4" spans="1:9" ht="8.2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+[17]E.S.P.!D6</f>
        <v>2021</v>
      </c>
      <c r="E6" s="138"/>
      <c r="F6" s="75" t="s">
        <v>8</v>
      </c>
      <c r="G6" s="76">
        <f>+D6</f>
        <v>2021</v>
      </c>
      <c r="H6" s="12"/>
    </row>
    <row r="7" spans="1:9">
      <c r="B7" s="5" t="s">
        <v>9</v>
      </c>
      <c r="C7" s="78" t="s">
        <v>10</v>
      </c>
      <c r="D7" s="232">
        <v>22278289</v>
      </c>
      <c r="E7" s="138" t="s">
        <v>11</v>
      </c>
      <c r="F7" s="80" t="s">
        <v>12</v>
      </c>
      <c r="G7" s="233">
        <f>20498345+1666008+11460</f>
        <v>22175813</v>
      </c>
    </row>
    <row r="8" spans="1:9">
      <c r="B8" s="5" t="s">
        <v>13</v>
      </c>
      <c r="C8" s="78" t="s">
        <v>14</v>
      </c>
      <c r="D8" s="232">
        <v>89474747</v>
      </c>
      <c r="E8" s="138" t="s">
        <v>15</v>
      </c>
      <c r="F8" s="78" t="s">
        <v>16</v>
      </c>
      <c r="G8" s="234">
        <v>5834123</v>
      </c>
    </row>
    <row r="9" spans="1:9">
      <c r="B9" s="5" t="s">
        <v>17</v>
      </c>
      <c r="C9" s="78" t="s">
        <v>18</v>
      </c>
      <c r="D9" s="232">
        <v>1283370121</v>
      </c>
      <c r="E9" s="138" t="s">
        <v>19</v>
      </c>
      <c r="F9" s="78" t="s">
        <v>20</v>
      </c>
      <c r="G9" s="232">
        <v>18800995</v>
      </c>
    </row>
    <row r="10" spans="1:9">
      <c r="B10" s="5" t="s">
        <v>21</v>
      </c>
      <c r="C10" s="78" t="s">
        <v>22</v>
      </c>
      <c r="D10" s="232">
        <v>103216954</v>
      </c>
      <c r="E10" s="138" t="s">
        <v>23</v>
      </c>
      <c r="F10" s="78" t="s">
        <v>24</v>
      </c>
      <c r="G10" s="232">
        <v>200379900</v>
      </c>
    </row>
    <row r="11" spans="1:9">
      <c r="B11" s="5" t="s">
        <v>25</v>
      </c>
      <c r="C11" s="78" t="s">
        <v>26</v>
      </c>
      <c r="D11" s="232">
        <v>25937192</v>
      </c>
      <c r="E11" s="138" t="s">
        <v>27</v>
      </c>
      <c r="F11" s="78" t="s">
        <v>28</v>
      </c>
      <c r="G11" s="232">
        <v>206796844</v>
      </c>
    </row>
    <row r="12" spans="1:9">
      <c r="B12" s="5" t="s">
        <v>29</v>
      </c>
      <c r="C12" s="78" t="s">
        <v>30</v>
      </c>
      <c r="D12" s="232">
        <v>19097206</v>
      </c>
      <c r="E12" s="138" t="s">
        <v>31</v>
      </c>
      <c r="F12" s="78" t="s">
        <v>32</v>
      </c>
      <c r="G12" s="232">
        <v>127355547</v>
      </c>
    </row>
    <row r="13" spans="1:9">
      <c r="B13" s="5" t="s">
        <v>33</v>
      </c>
      <c r="C13" s="78" t="s">
        <v>34</v>
      </c>
      <c r="D13" s="232">
        <v>0</v>
      </c>
      <c r="E13" s="138" t="s">
        <v>35</v>
      </c>
      <c r="F13" s="78" t="s">
        <v>36</v>
      </c>
      <c r="G13" s="232">
        <v>3201110</v>
      </c>
    </row>
    <row r="14" spans="1:9">
      <c r="A14" s="14"/>
      <c r="B14" s="5" t="s">
        <v>37</v>
      </c>
      <c r="C14" s="78" t="s">
        <v>38</v>
      </c>
      <c r="D14" s="232">
        <v>0</v>
      </c>
      <c r="E14" s="138" t="s">
        <v>39</v>
      </c>
      <c r="F14" s="78" t="s">
        <v>40</v>
      </c>
      <c r="G14" s="232">
        <v>139080452</v>
      </c>
    </row>
    <row r="15" spans="1:9">
      <c r="B15" s="5" t="s">
        <v>41</v>
      </c>
      <c r="C15" s="83" t="s">
        <v>42</v>
      </c>
      <c r="D15" s="232">
        <v>0</v>
      </c>
      <c r="E15" s="138" t="s">
        <v>43</v>
      </c>
      <c r="F15" s="78" t="s">
        <v>44</v>
      </c>
      <c r="G15" s="232">
        <v>28374170</v>
      </c>
    </row>
    <row r="16" spans="1:9">
      <c r="B16" s="5" t="s">
        <v>45</v>
      </c>
      <c r="C16" s="78" t="s">
        <v>46</v>
      </c>
      <c r="D16" s="232">
        <v>0</v>
      </c>
      <c r="E16" s="138" t="s">
        <v>47</v>
      </c>
      <c r="F16" s="78" t="s">
        <v>48</v>
      </c>
      <c r="G16" s="232">
        <v>56267490</v>
      </c>
    </row>
    <row r="17" spans="1:7">
      <c r="B17" s="5" t="s">
        <v>49</v>
      </c>
      <c r="C17" s="78" t="s">
        <v>50</v>
      </c>
      <c r="D17" s="232">
        <v>0</v>
      </c>
      <c r="E17" s="138" t="s">
        <v>51</v>
      </c>
      <c r="F17" s="78" t="s">
        <v>52</v>
      </c>
      <c r="G17" s="232">
        <v>0</v>
      </c>
    </row>
    <row r="18" spans="1:7">
      <c r="A18" s="14"/>
      <c r="B18" s="5" t="s">
        <v>53</v>
      </c>
      <c r="C18" s="78" t="s">
        <v>54</v>
      </c>
      <c r="D18" s="232">
        <v>0</v>
      </c>
      <c r="E18" s="138" t="s">
        <v>55</v>
      </c>
      <c r="F18" s="78" t="s">
        <v>56</v>
      </c>
      <c r="G18" s="235">
        <v>32979337</v>
      </c>
    </row>
    <row r="19" spans="1:7" ht="16.5" thickBot="1">
      <c r="A19" s="14"/>
      <c r="B19" s="5" t="s">
        <v>57</v>
      </c>
      <c r="C19" s="78" t="s">
        <v>58</v>
      </c>
      <c r="D19" s="232">
        <f>60527142+800464</f>
        <v>61327606</v>
      </c>
      <c r="E19" s="138"/>
      <c r="F19" s="85" t="s">
        <v>59</v>
      </c>
      <c r="G19" s="86">
        <f>SUM(G7:G18)</f>
        <v>841245781</v>
      </c>
    </row>
    <row r="20" spans="1:7" ht="16.5" thickBot="1">
      <c r="B20" s="5"/>
      <c r="C20" s="85" t="s">
        <v>60</v>
      </c>
      <c r="D20" s="86">
        <f>SUM(D7:D19)</f>
        <v>1604702115</v>
      </c>
      <c r="E20" s="138" t="s">
        <v>61</v>
      </c>
      <c r="F20" s="80" t="s">
        <v>62</v>
      </c>
      <c r="G20" s="233">
        <v>1214121</v>
      </c>
    </row>
    <row r="21" spans="1:7">
      <c r="B21" s="5"/>
      <c r="C21" s="87" t="s">
        <v>63</v>
      </c>
      <c r="D21" s="88">
        <f>SUM(D22:D28)</f>
        <v>16320473</v>
      </c>
      <c r="E21" s="138" t="s">
        <v>64</v>
      </c>
      <c r="F21" s="78" t="s">
        <v>65</v>
      </c>
      <c r="G21" s="232">
        <v>35000750</v>
      </c>
    </row>
    <row r="22" spans="1:7">
      <c r="B22" s="5" t="s">
        <v>66</v>
      </c>
      <c r="C22" s="78" t="s">
        <v>67</v>
      </c>
      <c r="D22" s="232">
        <f>9428567+83223</f>
        <v>9511790</v>
      </c>
      <c r="E22" s="138" t="s">
        <v>68</v>
      </c>
      <c r="F22" s="78" t="s">
        <v>69</v>
      </c>
      <c r="G22" s="232">
        <v>3642372</v>
      </c>
    </row>
    <row r="23" spans="1:7">
      <c r="B23" s="5" t="s">
        <v>70</v>
      </c>
      <c r="C23" s="78" t="s">
        <v>71</v>
      </c>
      <c r="D23" s="232">
        <v>2499242</v>
      </c>
      <c r="E23" s="138" t="s">
        <v>72</v>
      </c>
      <c r="F23" s="78" t="s">
        <v>73</v>
      </c>
      <c r="G23" s="232">
        <f>8094185+314881</f>
        <v>8409066</v>
      </c>
    </row>
    <row r="24" spans="1:7">
      <c r="B24" s="5" t="s">
        <v>74</v>
      </c>
      <c r="C24" s="78" t="s">
        <v>75</v>
      </c>
      <c r="D24" s="232">
        <f>2979274+10719</f>
        <v>2989993</v>
      </c>
      <c r="E24" s="138" t="s">
        <v>76</v>
      </c>
      <c r="F24" s="78" t="s">
        <v>77</v>
      </c>
      <c r="G24" s="232">
        <v>0</v>
      </c>
    </row>
    <row r="25" spans="1:7">
      <c r="B25" s="5" t="s">
        <v>78</v>
      </c>
      <c r="C25" s="78" t="s">
        <v>79</v>
      </c>
      <c r="D25" s="232">
        <v>0</v>
      </c>
      <c r="E25" s="138" t="s">
        <v>80</v>
      </c>
      <c r="F25" s="78" t="s">
        <v>81</v>
      </c>
      <c r="G25" s="232">
        <v>0</v>
      </c>
    </row>
    <row r="26" spans="1:7">
      <c r="B26" s="5" t="s">
        <v>82</v>
      </c>
      <c r="C26" s="78" t="s">
        <v>83</v>
      </c>
      <c r="D26" s="232">
        <v>519411</v>
      </c>
      <c r="E26" s="138" t="s">
        <v>84</v>
      </c>
      <c r="F26" s="78" t="s">
        <v>85</v>
      </c>
      <c r="G26" s="235">
        <v>1987525</v>
      </c>
    </row>
    <row r="27" spans="1:7" ht="13.5" customHeight="1" thickBot="1">
      <c r="B27" s="5" t="s">
        <v>86</v>
      </c>
      <c r="C27" s="78" t="s">
        <v>87</v>
      </c>
      <c r="D27" s="232">
        <v>225290</v>
      </c>
      <c r="E27" s="138"/>
      <c r="F27" s="85" t="s">
        <v>88</v>
      </c>
      <c r="G27" s="86">
        <f>SUM(G20:G26)</f>
        <v>50253834</v>
      </c>
    </row>
    <row r="28" spans="1:7">
      <c r="B28" s="5" t="s">
        <v>89</v>
      </c>
      <c r="C28" s="78" t="s">
        <v>90</v>
      </c>
      <c r="D28" s="232">
        <v>574747</v>
      </c>
      <c r="E28" s="138" t="s">
        <v>91</v>
      </c>
      <c r="F28" s="80" t="s">
        <v>92</v>
      </c>
      <c r="G28" s="233">
        <v>87516885</v>
      </c>
    </row>
    <row r="29" spans="1:7">
      <c r="B29" s="5"/>
      <c r="C29" s="89" t="s">
        <v>93</v>
      </c>
      <c r="D29" s="88">
        <f>SUM(D30:D34)</f>
        <v>107265457</v>
      </c>
      <c r="E29" s="138" t="s">
        <v>94</v>
      </c>
      <c r="F29" s="78" t="s">
        <v>95</v>
      </c>
      <c r="G29" s="232">
        <v>22645331</v>
      </c>
    </row>
    <row r="30" spans="1:7">
      <c r="B30" s="5" t="s">
        <v>96</v>
      </c>
      <c r="C30" s="78" t="s">
        <v>97</v>
      </c>
      <c r="D30" s="232">
        <v>92532962</v>
      </c>
      <c r="E30" s="138" t="s">
        <v>98</v>
      </c>
      <c r="F30" s="78" t="s">
        <v>99</v>
      </c>
      <c r="G30" s="232">
        <v>14079414</v>
      </c>
    </row>
    <row r="31" spans="1:7">
      <c r="B31" s="5" t="s">
        <v>100</v>
      </c>
      <c r="C31" s="78" t="s">
        <v>101</v>
      </c>
      <c r="D31" s="232">
        <v>3812554</v>
      </c>
      <c r="E31" s="138" t="s">
        <v>102</v>
      </c>
      <c r="F31" s="78" t="s">
        <v>103</v>
      </c>
      <c r="G31" s="235">
        <v>4995951</v>
      </c>
    </row>
    <row r="32" spans="1:7" ht="16.5" thickBot="1">
      <c r="B32" s="5" t="s">
        <v>104</v>
      </c>
      <c r="C32" s="78" t="s">
        <v>105</v>
      </c>
      <c r="D32" s="232">
        <v>5799649</v>
      </c>
      <c r="E32" s="138"/>
      <c r="F32" s="85" t="s">
        <v>106</v>
      </c>
      <c r="G32" s="86">
        <f>SUM(G28:G31)</f>
        <v>129237581</v>
      </c>
    </row>
    <row r="33" spans="2:7">
      <c r="B33" s="5" t="s">
        <v>107</v>
      </c>
      <c r="C33" s="78" t="s">
        <v>108</v>
      </c>
      <c r="D33" s="232">
        <v>0</v>
      </c>
      <c r="E33" s="138"/>
      <c r="F33" s="89" t="s">
        <v>109</v>
      </c>
      <c r="G33" s="88">
        <f>SUM(G34:G39)</f>
        <v>102516248</v>
      </c>
    </row>
    <row r="34" spans="2:7">
      <c r="B34" s="5" t="s">
        <v>110</v>
      </c>
      <c r="C34" s="78" t="s">
        <v>111</v>
      </c>
      <c r="D34" s="232">
        <v>5120292</v>
      </c>
      <c r="E34" s="138" t="s">
        <v>112</v>
      </c>
      <c r="F34" s="78" t="s">
        <v>113</v>
      </c>
      <c r="G34" s="232">
        <v>2049909</v>
      </c>
    </row>
    <row r="35" spans="2:7" ht="16.5" thickBot="1">
      <c r="B35" s="5"/>
      <c r="C35" s="85" t="s">
        <v>114</v>
      </c>
      <c r="D35" s="86">
        <f>+D21+D29</f>
        <v>123585930</v>
      </c>
      <c r="E35" s="138" t="s">
        <v>115</v>
      </c>
      <c r="F35" s="78" t="s">
        <v>116</v>
      </c>
      <c r="G35" s="232">
        <v>1024445</v>
      </c>
    </row>
    <row r="36" spans="2:7">
      <c r="B36" s="5" t="s">
        <v>117</v>
      </c>
      <c r="C36" s="78" t="s">
        <v>118</v>
      </c>
      <c r="D36" s="232">
        <v>1049282</v>
      </c>
      <c r="E36" s="138" t="s">
        <v>119</v>
      </c>
      <c r="F36" s="78" t="s">
        <v>517</v>
      </c>
      <c r="G36" s="232">
        <v>7176240</v>
      </c>
    </row>
    <row r="37" spans="2:7">
      <c r="B37" s="5" t="s">
        <v>120</v>
      </c>
      <c r="C37" s="78" t="s">
        <v>121</v>
      </c>
      <c r="D37" s="232">
        <v>27908110</v>
      </c>
      <c r="E37" s="138" t="s">
        <v>122</v>
      </c>
      <c r="F37" s="78" t="s">
        <v>123</v>
      </c>
      <c r="G37" s="232">
        <v>10511210</v>
      </c>
    </row>
    <row r="38" spans="2:7">
      <c r="B38" s="5" t="s">
        <v>124</v>
      </c>
      <c r="C38" s="78" t="s">
        <v>125</v>
      </c>
      <c r="D38" s="232">
        <v>1324322</v>
      </c>
      <c r="E38" s="138" t="s">
        <v>126</v>
      </c>
      <c r="F38" s="78" t="s">
        <v>127</v>
      </c>
      <c r="G38" s="232">
        <v>5874121</v>
      </c>
    </row>
    <row r="39" spans="2:7">
      <c r="B39" s="5" t="s">
        <v>128</v>
      </c>
      <c r="C39" s="78" t="s">
        <v>129</v>
      </c>
      <c r="D39" s="232">
        <v>0</v>
      </c>
      <c r="E39" s="138" t="s">
        <v>130</v>
      </c>
      <c r="F39" s="78" t="s">
        <v>131</v>
      </c>
      <c r="G39" s="232">
        <v>75880323</v>
      </c>
    </row>
    <row r="40" spans="2:7">
      <c r="B40" s="5" t="s">
        <v>132</v>
      </c>
      <c r="C40" s="78" t="s">
        <v>133</v>
      </c>
      <c r="D40" s="232">
        <v>11265035</v>
      </c>
      <c r="E40" s="138"/>
      <c r="F40" s="90" t="s">
        <v>134</v>
      </c>
      <c r="G40" s="91">
        <f>SUM(G41:G46)</f>
        <v>46921114</v>
      </c>
    </row>
    <row r="41" spans="2:7">
      <c r="B41" s="5" t="s">
        <v>135</v>
      </c>
      <c r="C41" s="78" t="s">
        <v>136</v>
      </c>
      <c r="D41" s="232">
        <v>0</v>
      </c>
      <c r="E41" s="138" t="s">
        <v>137</v>
      </c>
      <c r="F41" s="78" t="s">
        <v>138</v>
      </c>
      <c r="G41" s="232">
        <v>4692108</v>
      </c>
    </row>
    <row r="42" spans="2:7">
      <c r="B42" s="5" t="s">
        <v>139</v>
      </c>
      <c r="C42" s="78" t="s">
        <v>140</v>
      </c>
      <c r="D42" s="232">
        <f>49097619+11458</f>
        <v>49109077</v>
      </c>
      <c r="E42" s="138" t="s">
        <v>141</v>
      </c>
      <c r="F42" s="78" t="s">
        <v>142</v>
      </c>
      <c r="G42" s="232">
        <v>34830</v>
      </c>
    </row>
    <row r="43" spans="2:7">
      <c r="B43" s="5" t="s">
        <v>143</v>
      </c>
      <c r="C43" s="78" t="s">
        <v>144</v>
      </c>
      <c r="D43" s="232">
        <v>0</v>
      </c>
      <c r="E43" s="138" t="s">
        <v>145</v>
      </c>
      <c r="F43" s="78" t="s">
        <v>146</v>
      </c>
      <c r="G43" s="232">
        <v>4007427</v>
      </c>
    </row>
    <row r="44" spans="2:7">
      <c r="B44" s="5" t="s">
        <v>147</v>
      </c>
      <c r="C44" s="78" t="s">
        <v>148</v>
      </c>
      <c r="D44" s="232">
        <v>0</v>
      </c>
      <c r="E44" s="138" t="s">
        <v>149</v>
      </c>
      <c r="F44" s="78" t="s">
        <v>150</v>
      </c>
      <c r="G44" s="232">
        <v>1334580</v>
      </c>
    </row>
    <row r="45" spans="2:7">
      <c r="B45" s="5" t="s">
        <v>151</v>
      </c>
      <c r="C45" s="78" t="s">
        <v>152</v>
      </c>
      <c r="D45" s="232">
        <v>0</v>
      </c>
      <c r="E45" s="138" t="s">
        <v>153</v>
      </c>
      <c r="F45" s="78" t="s">
        <v>154</v>
      </c>
      <c r="G45" s="232">
        <v>541094</v>
      </c>
    </row>
    <row r="46" spans="2:7">
      <c r="B46" s="5" t="s">
        <v>155</v>
      </c>
      <c r="C46" s="78" t="s">
        <v>156</v>
      </c>
      <c r="D46" s="232">
        <v>3471893</v>
      </c>
      <c r="E46" s="138" t="s">
        <v>157</v>
      </c>
      <c r="F46" s="78" t="s">
        <v>158</v>
      </c>
      <c r="G46" s="232">
        <v>36311075</v>
      </c>
    </row>
    <row r="47" spans="2:7" ht="16.5" thickBot="1">
      <c r="B47" s="5"/>
      <c r="C47" s="85" t="s">
        <v>159</v>
      </c>
      <c r="D47" s="86">
        <f>SUM(D36:D46)</f>
        <v>94127719</v>
      </c>
      <c r="E47" s="138" t="s">
        <v>160</v>
      </c>
      <c r="F47" s="78" t="s">
        <v>161</v>
      </c>
      <c r="G47" s="235">
        <v>5822652</v>
      </c>
    </row>
    <row r="48" spans="2:7" ht="16.5" thickBot="1">
      <c r="B48" s="5"/>
      <c r="C48" s="92" t="s">
        <v>162</v>
      </c>
      <c r="D48" s="93"/>
      <c r="E48" s="138"/>
      <c r="F48" s="85" t="s">
        <v>163</v>
      </c>
      <c r="G48" s="94">
        <f>+G33+G40+G47</f>
        <v>155260014</v>
      </c>
    </row>
    <row r="49" spans="2:7">
      <c r="B49" s="5" t="s">
        <v>164</v>
      </c>
      <c r="C49" s="95" t="s">
        <v>165</v>
      </c>
      <c r="D49" s="236">
        <v>0</v>
      </c>
      <c r="E49" s="138" t="s">
        <v>166</v>
      </c>
      <c r="F49" s="80" t="s">
        <v>167</v>
      </c>
      <c r="G49" s="233">
        <v>32986148</v>
      </c>
    </row>
    <row r="50" spans="2:7">
      <c r="B50" s="5" t="s">
        <v>168</v>
      </c>
      <c r="C50" s="78" t="s">
        <v>162</v>
      </c>
      <c r="D50" s="232">
        <f>6357040+4731700</f>
        <v>11088740</v>
      </c>
      <c r="E50" s="138" t="s">
        <v>169</v>
      </c>
      <c r="F50" s="78" t="s">
        <v>170</v>
      </c>
      <c r="G50" s="232">
        <v>64280409</v>
      </c>
    </row>
    <row r="51" spans="2:7">
      <c r="B51" s="5" t="s">
        <v>171</v>
      </c>
      <c r="C51" s="78" t="s">
        <v>172</v>
      </c>
      <c r="D51" s="235">
        <v>235088</v>
      </c>
      <c r="E51" s="138" t="s">
        <v>173</v>
      </c>
      <c r="F51" s="78" t="s">
        <v>174</v>
      </c>
      <c r="G51" s="232">
        <v>2560593</v>
      </c>
    </row>
    <row r="52" spans="2:7" ht="16.5" thickBot="1">
      <c r="B52" s="11"/>
      <c r="C52" s="85" t="s">
        <v>175</v>
      </c>
      <c r="D52" s="86">
        <f>SUM(D49:D51)</f>
        <v>11323828</v>
      </c>
      <c r="E52" s="138" t="s">
        <v>176</v>
      </c>
      <c r="F52" s="78" t="s">
        <v>177</v>
      </c>
      <c r="G52" s="232">
        <v>0</v>
      </c>
    </row>
    <row r="53" spans="2:7" ht="16.5" thickBot="1">
      <c r="B53" s="5"/>
      <c r="C53" s="75" t="s">
        <v>178</v>
      </c>
      <c r="D53" s="97">
        <f>D20+D35+D47+D52</f>
        <v>1833739592</v>
      </c>
      <c r="E53" s="138" t="s">
        <v>179</v>
      </c>
      <c r="F53" s="78" t="s">
        <v>180</v>
      </c>
      <c r="G53" s="232">
        <v>9491898</v>
      </c>
    </row>
    <row r="54" spans="2:7">
      <c r="C54" s="98"/>
      <c r="D54" s="99"/>
      <c r="E54" s="138" t="s">
        <v>181</v>
      </c>
      <c r="F54" s="78" t="s">
        <v>182</v>
      </c>
      <c r="G54" s="232">
        <v>3293131</v>
      </c>
    </row>
    <row r="55" spans="2:7">
      <c r="C55" s="100" t="s">
        <v>183</v>
      </c>
      <c r="D55" s="101"/>
      <c r="E55" s="138" t="s">
        <v>184</v>
      </c>
      <c r="F55" s="78" t="s">
        <v>185</v>
      </c>
      <c r="G55" s="232">
        <v>6078646</v>
      </c>
    </row>
    <row r="56" spans="2:7">
      <c r="B56" s="5" t="s">
        <v>186</v>
      </c>
      <c r="C56" s="102" t="s">
        <v>187</v>
      </c>
      <c r="D56" s="79"/>
      <c r="E56" s="138" t="s">
        <v>188</v>
      </c>
      <c r="F56" s="78" t="s">
        <v>189</v>
      </c>
      <c r="G56" s="235">
        <v>4672852</v>
      </c>
    </row>
    <row r="57" spans="2:7" ht="14.25" customHeight="1" thickBot="1">
      <c r="B57" s="5" t="s">
        <v>190</v>
      </c>
      <c r="C57" s="102" t="s">
        <v>191</v>
      </c>
      <c r="D57" s="79"/>
      <c r="E57" s="138"/>
      <c r="F57" s="85" t="s">
        <v>192</v>
      </c>
      <c r="G57" s="86">
        <f>SUM(G49:G56)</f>
        <v>123363677</v>
      </c>
    </row>
    <row r="58" spans="2:7">
      <c r="B58" s="5" t="s">
        <v>193</v>
      </c>
      <c r="C58" s="102" t="s">
        <v>194</v>
      </c>
      <c r="D58" s="79"/>
      <c r="E58" s="138" t="s">
        <v>195</v>
      </c>
      <c r="F58" s="80" t="s">
        <v>196</v>
      </c>
      <c r="G58" s="233">
        <v>0</v>
      </c>
    </row>
    <row r="59" spans="2:7">
      <c r="B59" s="5" t="s">
        <v>197</v>
      </c>
      <c r="C59" s="78" t="s">
        <v>198</v>
      </c>
      <c r="D59" s="84"/>
      <c r="E59" s="138" t="s">
        <v>199</v>
      </c>
      <c r="F59" s="78" t="s">
        <v>200</v>
      </c>
      <c r="G59" s="232">
        <v>52895728</v>
      </c>
    </row>
    <row r="60" spans="2:7" ht="16.5" thickBot="1">
      <c r="B60" s="5"/>
      <c r="C60" s="85" t="s">
        <v>201</v>
      </c>
      <c r="D60" s="86">
        <f>SUM(D56:D59)</f>
        <v>0</v>
      </c>
      <c r="E60" s="138" t="s">
        <v>202</v>
      </c>
      <c r="F60" s="78" t="s">
        <v>203</v>
      </c>
      <c r="G60" s="232">
        <v>12577321</v>
      </c>
    </row>
    <row r="61" spans="2:7" ht="16.5" thickBot="1">
      <c r="B61" s="15"/>
      <c r="C61" s="72" t="s">
        <v>204</v>
      </c>
      <c r="D61" s="103">
        <f>D53+D60</f>
        <v>1833739592</v>
      </c>
      <c r="E61" s="138" t="s">
        <v>205</v>
      </c>
      <c r="F61" s="78" t="s">
        <v>206</v>
      </c>
      <c r="G61" s="232">
        <v>6107901</v>
      </c>
    </row>
    <row r="62" spans="2:7">
      <c r="B62" s="16"/>
      <c r="C62" s="116"/>
      <c r="D62" s="116"/>
      <c r="E62" s="138" t="s">
        <v>207</v>
      </c>
      <c r="F62" s="78" t="s">
        <v>208</v>
      </c>
      <c r="G62" s="232">
        <v>0</v>
      </c>
    </row>
    <row r="63" spans="2:7">
      <c r="B63" s="17"/>
      <c r="C63" s="222" t="s">
        <v>8</v>
      </c>
      <c r="D63" s="222"/>
      <c r="E63" s="138" t="s">
        <v>209</v>
      </c>
      <c r="F63" s="78" t="s">
        <v>210</v>
      </c>
      <c r="G63" s="232">
        <v>13346676</v>
      </c>
    </row>
    <row r="64" spans="2:7">
      <c r="B64" s="18" t="s">
        <v>211</v>
      </c>
      <c r="C64" s="223" t="s">
        <v>212</v>
      </c>
      <c r="D64" s="223">
        <f>[17]Amortizaciones!D6</f>
        <v>7277956</v>
      </c>
      <c r="E64" s="138" t="s">
        <v>213</v>
      </c>
      <c r="F64" s="78" t="s">
        <v>214</v>
      </c>
      <c r="G64" s="232">
        <v>1299067</v>
      </c>
    </row>
    <row r="65" spans="2:7">
      <c r="B65" s="18" t="s">
        <v>215</v>
      </c>
      <c r="C65" s="223" t="s">
        <v>216</v>
      </c>
      <c r="D65" s="223">
        <f>[17]Amortizaciones!D7</f>
        <v>0</v>
      </c>
      <c r="E65" s="138" t="s">
        <v>217</v>
      </c>
      <c r="F65" s="78" t="s">
        <v>218</v>
      </c>
      <c r="G65" s="232">
        <v>4756211</v>
      </c>
    </row>
    <row r="66" spans="2:7">
      <c r="B66" s="18" t="s">
        <v>219</v>
      </c>
      <c r="C66" s="223" t="s">
        <v>220</v>
      </c>
      <c r="D66" s="223">
        <f>[17]Amortizaciones!D8</f>
        <v>5117266</v>
      </c>
      <c r="E66" s="138" t="s">
        <v>221</v>
      </c>
      <c r="F66" s="78" t="s">
        <v>222</v>
      </c>
      <c r="G66" s="232">
        <v>10121323</v>
      </c>
    </row>
    <row r="67" spans="2:7">
      <c r="B67" s="18" t="s">
        <v>223</v>
      </c>
      <c r="C67" s="223" t="s">
        <v>224</v>
      </c>
      <c r="D67" s="223">
        <f>[17]Amortizaciones!D9</f>
        <v>0</v>
      </c>
      <c r="E67" s="138" t="s">
        <v>225</v>
      </c>
      <c r="F67" s="78" t="s">
        <v>226</v>
      </c>
      <c r="G67" s="232">
        <v>658441</v>
      </c>
    </row>
    <row r="68" spans="2:7">
      <c r="B68" s="18" t="s">
        <v>227</v>
      </c>
      <c r="C68" s="223" t="s">
        <v>228</v>
      </c>
      <c r="D68" s="223">
        <f>[17]Amortizaciones!D10</f>
        <v>1795843</v>
      </c>
      <c r="E68" s="138" t="s">
        <v>229</v>
      </c>
      <c r="F68" s="78" t="s">
        <v>230</v>
      </c>
      <c r="G68" s="232">
        <v>179258</v>
      </c>
    </row>
    <row r="69" spans="2:7">
      <c r="B69" s="18" t="s">
        <v>231</v>
      </c>
      <c r="C69" s="223" t="s">
        <v>232</v>
      </c>
      <c r="D69" s="223">
        <f>[17]Amortizaciones!D11</f>
        <v>492415</v>
      </c>
      <c r="E69" s="138" t="s">
        <v>233</v>
      </c>
      <c r="F69" s="78" t="s">
        <v>234</v>
      </c>
      <c r="G69" s="232">
        <v>2265855</v>
      </c>
    </row>
    <row r="70" spans="2:7">
      <c r="B70" s="18" t="s">
        <v>235</v>
      </c>
      <c r="C70" s="223" t="s">
        <v>236</v>
      </c>
      <c r="D70" s="223">
        <f>[17]Amortizaciones!D12</f>
        <v>849941</v>
      </c>
      <c r="E70" s="138" t="s">
        <v>237</v>
      </c>
      <c r="F70" s="78" t="s">
        <v>238</v>
      </c>
      <c r="G70" s="232">
        <v>237109</v>
      </c>
    </row>
    <row r="71" spans="2:7">
      <c r="B71" s="18" t="s">
        <v>239</v>
      </c>
      <c r="C71" s="223" t="s">
        <v>240</v>
      </c>
      <c r="D71" s="223">
        <f>[17]Amortizaciones!D13</f>
        <v>235664</v>
      </c>
      <c r="E71" s="138" t="s">
        <v>241</v>
      </c>
      <c r="F71" s="78" t="s">
        <v>242</v>
      </c>
      <c r="G71" s="232">
        <v>0</v>
      </c>
    </row>
    <row r="72" spans="2:7">
      <c r="B72" s="18" t="s">
        <v>243</v>
      </c>
      <c r="C72" s="223" t="s">
        <v>244</v>
      </c>
      <c r="D72" s="223">
        <f>[17]Amortizaciones!D14</f>
        <v>754612</v>
      </c>
      <c r="E72" s="138" t="s">
        <v>245</v>
      </c>
      <c r="F72" s="78" t="s">
        <v>246</v>
      </c>
      <c r="G72" s="232">
        <v>16509926</v>
      </c>
    </row>
    <row r="73" spans="2:7">
      <c r="B73" s="18" t="s">
        <v>247</v>
      </c>
      <c r="C73" s="223" t="s">
        <v>248</v>
      </c>
      <c r="D73" s="223">
        <f>[17]Amortizaciones!D15</f>
        <v>0</v>
      </c>
      <c r="E73" s="138" t="s">
        <v>249</v>
      </c>
      <c r="F73" s="78" t="s">
        <v>250</v>
      </c>
      <c r="G73" s="232">
        <v>11116710</v>
      </c>
    </row>
    <row r="74" spans="2:7">
      <c r="B74" s="18" t="s">
        <v>251</v>
      </c>
      <c r="C74" s="223" t="s">
        <v>252</v>
      </c>
      <c r="D74" s="223">
        <f>[17]Amortizaciones!D16</f>
        <v>0</v>
      </c>
      <c r="E74" s="138" t="s">
        <v>253</v>
      </c>
      <c r="F74" s="78" t="s">
        <v>254</v>
      </c>
      <c r="G74" s="232">
        <v>0</v>
      </c>
    </row>
    <row r="75" spans="2:7">
      <c r="B75" s="18" t="s">
        <v>255</v>
      </c>
      <c r="C75" s="223" t="s">
        <v>256</v>
      </c>
      <c r="D75" s="223">
        <f>[17]Amortizaciones!D17</f>
        <v>0</v>
      </c>
      <c r="E75" s="138" t="s">
        <v>257</v>
      </c>
      <c r="F75" s="78" t="s">
        <v>258</v>
      </c>
      <c r="G75" s="232">
        <v>4821859</v>
      </c>
    </row>
    <row r="76" spans="2:7">
      <c r="B76" s="18" t="s">
        <v>259</v>
      </c>
      <c r="C76" s="223" t="s">
        <v>260</v>
      </c>
      <c r="D76" s="223">
        <f>[17]Amortizaciones!D18</f>
        <v>0</v>
      </c>
      <c r="E76" s="138" t="s">
        <v>261</v>
      </c>
      <c r="F76" s="78" t="s">
        <v>262</v>
      </c>
      <c r="G76" s="232">
        <v>37679222</v>
      </c>
    </row>
    <row r="77" spans="2:7">
      <c r="B77" s="18" t="s">
        <v>263</v>
      </c>
      <c r="C77" s="223" t="s">
        <v>264</v>
      </c>
      <c r="D77" s="223">
        <f>SUM(D64:D76)</f>
        <v>16523697</v>
      </c>
      <c r="E77" s="138" t="s">
        <v>265</v>
      </c>
      <c r="F77" s="78" t="s">
        <v>266</v>
      </c>
      <c r="G77" s="232">
        <f>8690277+15406006</f>
        <v>24096283</v>
      </c>
    </row>
    <row r="78" spans="2:7">
      <c r="B78" s="18"/>
      <c r="C78" s="223"/>
      <c r="D78" s="223"/>
      <c r="E78" s="138" t="s">
        <v>267</v>
      </c>
      <c r="F78" s="78" t="s">
        <v>268</v>
      </c>
      <c r="G78" s="235">
        <v>7740334</v>
      </c>
    </row>
    <row r="79" spans="2:7" ht="16.5" thickBot="1">
      <c r="B79" s="18"/>
      <c r="C79" s="222" t="s">
        <v>269</v>
      </c>
      <c r="D79" s="224"/>
      <c r="E79" s="138"/>
      <c r="F79" s="85" t="s">
        <v>270</v>
      </c>
      <c r="G79" s="86">
        <f>SUM(G58:G78)</f>
        <v>206409224</v>
      </c>
    </row>
    <row r="80" spans="2:7">
      <c r="B80" s="18" t="s">
        <v>271</v>
      </c>
      <c r="C80" s="223" t="s">
        <v>236</v>
      </c>
      <c r="D80" s="223">
        <f>[17]Amortizaciones!D22</f>
        <v>364261</v>
      </c>
      <c r="E80" s="138" t="s">
        <v>272</v>
      </c>
      <c r="F80" s="80" t="s">
        <v>273</v>
      </c>
      <c r="G80" s="233">
        <v>2001923</v>
      </c>
    </row>
    <row r="81" spans="2:7">
      <c r="B81" s="18" t="s">
        <v>274</v>
      </c>
      <c r="C81" s="223" t="s">
        <v>240</v>
      </c>
      <c r="D81" s="223">
        <f>[17]Amortizaciones!D23</f>
        <v>0</v>
      </c>
      <c r="E81" s="138" t="s">
        <v>275</v>
      </c>
      <c r="F81" s="78" t="s">
        <v>276</v>
      </c>
      <c r="G81" s="232">
        <v>4960844</v>
      </c>
    </row>
    <row r="82" spans="2:7">
      <c r="B82" s="18" t="s">
        <v>277</v>
      </c>
      <c r="C82" s="223" t="s">
        <v>244</v>
      </c>
      <c r="D82" s="223">
        <f>[17]Amortizaciones!D24</f>
        <v>323406</v>
      </c>
      <c r="E82" s="138" t="s">
        <v>278</v>
      </c>
      <c r="F82" s="78" t="s">
        <v>279</v>
      </c>
      <c r="G82" s="232">
        <v>1430639</v>
      </c>
    </row>
    <row r="83" spans="2:7">
      <c r="B83" s="18" t="s">
        <v>280</v>
      </c>
      <c r="C83" s="223" t="s">
        <v>248</v>
      </c>
      <c r="D83" s="223">
        <f>[17]Amortizaciones!D25</f>
        <v>0</v>
      </c>
      <c r="E83" s="138" t="s">
        <v>281</v>
      </c>
      <c r="F83" s="78" t="s">
        <v>282</v>
      </c>
      <c r="G83" s="232">
        <v>5554224</v>
      </c>
    </row>
    <row r="84" spans="2:7">
      <c r="B84" s="18" t="s">
        <v>283</v>
      </c>
      <c r="C84" s="223" t="s">
        <v>284</v>
      </c>
      <c r="D84" s="223">
        <v>0</v>
      </c>
      <c r="E84" s="138" t="s">
        <v>285</v>
      </c>
      <c r="F84" s="78" t="s">
        <v>286</v>
      </c>
      <c r="G84" s="232">
        <v>9144548</v>
      </c>
    </row>
    <row r="85" spans="2:7">
      <c r="B85" s="18" t="s">
        <v>287</v>
      </c>
      <c r="C85" s="223" t="s">
        <v>288</v>
      </c>
      <c r="D85" s="223">
        <f>[17]Amortizaciones!D27</f>
        <v>0</v>
      </c>
      <c r="E85" s="138" t="s">
        <v>289</v>
      </c>
      <c r="F85" s="78" t="s">
        <v>290</v>
      </c>
      <c r="G85" s="232">
        <v>499509</v>
      </c>
    </row>
    <row r="86" spans="2:7" ht="13.5" customHeight="1">
      <c r="B86" s="18" t="s">
        <v>291</v>
      </c>
      <c r="C86" s="223" t="s">
        <v>292</v>
      </c>
      <c r="D86" s="223">
        <f>[17]Amortizaciones!D28</f>
        <v>0</v>
      </c>
      <c r="E86" s="138" t="s">
        <v>293</v>
      </c>
      <c r="F86" s="78" t="s">
        <v>294</v>
      </c>
      <c r="G86" s="232">
        <v>64929</v>
      </c>
    </row>
    <row r="87" spans="2:7" ht="13.5" customHeight="1">
      <c r="B87" s="18" t="s">
        <v>295</v>
      </c>
      <c r="C87" s="223" t="s">
        <v>296</v>
      </c>
      <c r="D87" s="223">
        <f>[17]Amortizaciones!D29</f>
        <v>0</v>
      </c>
      <c r="E87" s="138" t="s">
        <v>297</v>
      </c>
      <c r="F87" s="78" t="s">
        <v>298</v>
      </c>
      <c r="G87" s="232">
        <v>1465591</v>
      </c>
    </row>
    <row r="88" spans="2:7" ht="13.5" customHeight="1">
      <c r="B88" s="18" t="s">
        <v>299</v>
      </c>
      <c r="C88" s="223" t="s">
        <v>300</v>
      </c>
      <c r="D88" s="223">
        <f>[17]Amortizaciones!D30</f>
        <v>0</v>
      </c>
      <c r="E88" s="138" t="s">
        <v>301</v>
      </c>
      <c r="F88" s="78" t="s">
        <v>302</v>
      </c>
      <c r="G88" s="232">
        <v>2322306</v>
      </c>
    </row>
    <row r="89" spans="2:7">
      <c r="B89" s="18" t="s">
        <v>303</v>
      </c>
      <c r="C89" s="223" t="s">
        <v>212</v>
      </c>
      <c r="D89" s="223">
        <f>[17]Amortizaciones!D31</f>
        <v>3119124</v>
      </c>
      <c r="E89" s="138" t="s">
        <v>304</v>
      </c>
      <c r="F89" s="78" t="s">
        <v>305</v>
      </c>
      <c r="G89" s="232">
        <f>11473258+23910507</f>
        <v>35383765</v>
      </c>
    </row>
    <row r="90" spans="2:7" ht="14.25" customHeight="1">
      <c r="B90" s="18" t="s">
        <v>306</v>
      </c>
      <c r="C90" s="223" t="s">
        <v>228</v>
      </c>
      <c r="D90" s="223">
        <f>[17]Amortizaciones!D32</f>
        <v>0</v>
      </c>
      <c r="E90" s="138" t="s">
        <v>307</v>
      </c>
      <c r="F90" s="78" t="s">
        <v>308</v>
      </c>
      <c r="G90" s="232">
        <v>515695</v>
      </c>
    </row>
    <row r="91" spans="2:7" ht="14.25" customHeight="1">
      <c r="B91" s="18" t="s">
        <v>309</v>
      </c>
      <c r="C91" s="223" t="s">
        <v>310</v>
      </c>
      <c r="D91" s="223">
        <f>SUM(D80:D90)</f>
        <v>3806791</v>
      </c>
      <c r="E91" s="225" t="s">
        <v>311</v>
      </c>
      <c r="F91" s="78" t="s">
        <v>312</v>
      </c>
      <c r="G91" s="232">
        <v>0</v>
      </c>
    </row>
    <row r="92" spans="2:7" ht="14.25" customHeight="1">
      <c r="B92" s="18"/>
      <c r="C92" s="226" t="s">
        <v>313</v>
      </c>
      <c r="D92" s="223">
        <f>D77+D91</f>
        <v>20330488</v>
      </c>
      <c r="E92" s="225" t="s">
        <v>314</v>
      </c>
      <c r="F92" s="78" t="s">
        <v>315</v>
      </c>
      <c r="G92" s="232">
        <v>0</v>
      </c>
    </row>
    <row r="93" spans="2:7">
      <c r="C93" s="116"/>
      <c r="D93" s="116"/>
      <c r="E93" s="225" t="s">
        <v>316</v>
      </c>
      <c r="F93" s="78" t="s">
        <v>317</v>
      </c>
      <c r="G93" s="232">
        <f>1304554-617490</f>
        <v>687064</v>
      </c>
    </row>
    <row r="94" spans="2:7">
      <c r="C94" s="116"/>
      <c r="D94" s="116"/>
      <c r="E94" s="225" t="s">
        <v>318</v>
      </c>
      <c r="F94" s="78" t="s">
        <v>319</v>
      </c>
      <c r="G94" s="235">
        <v>2491171</v>
      </c>
    </row>
    <row r="95" spans="2:7" ht="13.5" customHeight="1" thickBot="1">
      <c r="C95" s="116"/>
      <c r="D95" s="116"/>
      <c r="E95" s="138"/>
      <c r="F95" s="85" t="s">
        <v>320</v>
      </c>
      <c r="G95" s="86">
        <f>SUM(G80:G94)</f>
        <v>66522208</v>
      </c>
    </row>
    <row r="96" spans="2:7">
      <c r="C96" s="116"/>
      <c r="D96" s="116"/>
      <c r="E96" s="225" t="s">
        <v>321</v>
      </c>
      <c r="F96" s="80" t="s">
        <v>322</v>
      </c>
      <c r="G96" s="233">
        <v>6793318</v>
      </c>
    </row>
    <row r="97" spans="2:7">
      <c r="C97" s="116"/>
      <c r="D97" s="116"/>
      <c r="E97" s="225" t="s">
        <v>323</v>
      </c>
      <c r="F97" s="78" t="s">
        <v>324</v>
      </c>
      <c r="G97" s="232">
        <f>3224032+415756</f>
        <v>3639788</v>
      </c>
    </row>
    <row r="98" spans="2:7">
      <c r="C98" s="116"/>
      <c r="D98" s="116"/>
      <c r="E98" s="225" t="s">
        <v>325</v>
      </c>
      <c r="F98" s="78" t="s">
        <v>326</v>
      </c>
      <c r="G98" s="232">
        <v>729174</v>
      </c>
    </row>
    <row r="99" spans="2:7">
      <c r="C99" s="116"/>
      <c r="D99" s="116"/>
      <c r="E99" s="225" t="s">
        <v>327</v>
      </c>
      <c r="F99" s="78" t="s">
        <v>328</v>
      </c>
      <c r="G99" s="232">
        <v>966736</v>
      </c>
    </row>
    <row r="100" spans="2:7">
      <c r="C100" s="116"/>
      <c r="D100" s="116"/>
      <c r="E100" s="225" t="s">
        <v>329</v>
      </c>
      <c r="F100" s="78" t="s">
        <v>330</v>
      </c>
      <c r="G100" s="235">
        <v>458895</v>
      </c>
    </row>
    <row r="101" spans="2:7" ht="12.75" customHeight="1" thickBot="1">
      <c r="C101" s="116"/>
      <c r="D101" s="116"/>
      <c r="E101" s="138"/>
      <c r="F101" s="85" t="s">
        <v>331</v>
      </c>
      <c r="G101" s="86">
        <f>SUM(G96:G100)</f>
        <v>12587911</v>
      </c>
    </row>
    <row r="102" spans="2:7" ht="12.75" customHeight="1" thickBot="1">
      <c r="C102" s="116"/>
      <c r="D102" s="116"/>
      <c r="E102" s="225"/>
      <c r="F102" s="110" t="s">
        <v>332</v>
      </c>
      <c r="G102" s="111">
        <f>[17]Amortizaciones!D19</f>
        <v>16523697</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1601403927</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232335665</v>
      </c>
    </row>
    <row r="110" spans="2:7" ht="6.75" customHeight="1" thickBot="1">
      <c r="B110" s="5"/>
      <c r="C110" s="227"/>
      <c r="D110" s="227"/>
      <c r="E110" s="138"/>
      <c r="F110" s="116"/>
      <c r="G110" s="116"/>
    </row>
    <row r="111" spans="2:7" ht="15" customHeight="1" thickBot="1">
      <c r="C111" s="72" t="s">
        <v>269</v>
      </c>
      <c r="D111" s="118">
        <f>+[17]E.S.P.!D6</f>
        <v>2021</v>
      </c>
      <c r="E111" s="225"/>
      <c r="F111" s="72" t="s">
        <v>340</v>
      </c>
      <c r="G111" s="118">
        <f>+[17]E.S.P.!D6</f>
        <v>2021</v>
      </c>
    </row>
    <row r="112" spans="2:7" ht="13.7" customHeight="1">
      <c r="B112" s="5" t="s">
        <v>341</v>
      </c>
      <c r="C112" s="119" t="s">
        <v>342</v>
      </c>
      <c r="D112" s="237">
        <v>6012471</v>
      </c>
      <c r="E112" s="138" t="s">
        <v>343</v>
      </c>
      <c r="F112" s="119" t="s">
        <v>308</v>
      </c>
      <c r="G112" s="237">
        <v>0</v>
      </c>
    </row>
    <row r="113" spans="2:7" ht="13.7" customHeight="1">
      <c r="B113" s="5" t="s">
        <v>344</v>
      </c>
      <c r="C113" s="121" t="s">
        <v>345</v>
      </c>
      <c r="D113" s="238">
        <v>110143240</v>
      </c>
      <c r="E113" s="138" t="s">
        <v>346</v>
      </c>
      <c r="F113" s="121" t="s">
        <v>347</v>
      </c>
      <c r="G113" s="238">
        <v>0</v>
      </c>
    </row>
    <row r="114" spans="2:7" ht="13.7" customHeight="1">
      <c r="B114" s="5" t="s">
        <v>348</v>
      </c>
      <c r="C114" s="121" t="s">
        <v>48</v>
      </c>
      <c r="D114" s="238">
        <v>492460</v>
      </c>
      <c r="E114" s="138" t="s">
        <v>349</v>
      </c>
      <c r="F114" s="121" t="s">
        <v>350</v>
      </c>
      <c r="G114" s="238">
        <v>0</v>
      </c>
    </row>
    <row r="115" spans="2:7" ht="13.7" customHeight="1">
      <c r="B115" s="5" t="s">
        <v>351</v>
      </c>
      <c r="C115" s="121" t="s">
        <v>352</v>
      </c>
      <c r="D115" s="238">
        <v>1687687</v>
      </c>
      <c r="E115" s="138" t="s">
        <v>353</v>
      </c>
      <c r="F115" s="121" t="s">
        <v>354</v>
      </c>
      <c r="G115" s="238">
        <v>0</v>
      </c>
    </row>
    <row r="116" spans="2:7" ht="13.7" customHeight="1">
      <c r="B116" s="5" t="s">
        <v>355</v>
      </c>
      <c r="C116" s="121" t="s">
        <v>356</v>
      </c>
      <c r="D116" s="238">
        <v>4120576</v>
      </c>
      <c r="E116" s="138" t="s">
        <v>357</v>
      </c>
      <c r="F116" s="121" t="s">
        <v>358</v>
      </c>
      <c r="G116" s="238">
        <v>1089410</v>
      </c>
    </row>
    <row r="117" spans="2:7" ht="13.7" customHeight="1">
      <c r="B117" s="5" t="s">
        <v>359</v>
      </c>
      <c r="C117" s="121" t="s">
        <v>360</v>
      </c>
      <c r="D117" s="238">
        <v>0</v>
      </c>
      <c r="E117" s="138" t="s">
        <v>361</v>
      </c>
      <c r="F117" s="121" t="s">
        <v>362</v>
      </c>
      <c r="G117" s="238">
        <v>887940</v>
      </c>
    </row>
    <row r="118" spans="2:7" ht="13.7" customHeight="1">
      <c r="B118" s="5" t="s">
        <v>363</v>
      </c>
      <c r="C118" s="121" t="s">
        <v>364</v>
      </c>
      <c r="D118" s="238">
        <v>0</v>
      </c>
      <c r="E118" s="138" t="s">
        <v>365</v>
      </c>
      <c r="F118" s="121" t="s">
        <v>366</v>
      </c>
      <c r="G118" s="238">
        <v>0</v>
      </c>
    </row>
    <row r="119" spans="2:7" ht="13.7" customHeight="1">
      <c r="B119" s="5" t="s">
        <v>367</v>
      </c>
      <c r="C119" s="121" t="s">
        <v>368</v>
      </c>
      <c r="D119" s="238">
        <v>0</v>
      </c>
      <c r="E119" s="138" t="s">
        <v>369</v>
      </c>
      <c r="F119" s="121" t="s">
        <v>370</v>
      </c>
      <c r="G119" s="238">
        <v>0</v>
      </c>
    </row>
    <row r="120" spans="2:7" ht="13.7" customHeight="1">
      <c r="B120" s="5" t="s">
        <v>371</v>
      </c>
      <c r="C120" s="121" t="s">
        <v>372</v>
      </c>
      <c r="D120" s="238">
        <v>0</v>
      </c>
      <c r="E120" s="138" t="s">
        <v>373</v>
      </c>
      <c r="F120" s="121" t="s">
        <v>374</v>
      </c>
      <c r="G120" s="238">
        <v>0</v>
      </c>
    </row>
    <row r="121" spans="2:7" ht="13.7" customHeight="1">
      <c r="B121" s="5" t="s">
        <v>375</v>
      </c>
      <c r="C121" s="78" t="s">
        <v>376</v>
      </c>
      <c r="D121" s="238">
        <v>4965463</v>
      </c>
      <c r="E121" s="138" t="s">
        <v>377</v>
      </c>
      <c r="F121" s="121" t="s">
        <v>378</v>
      </c>
      <c r="G121" s="238">
        <f>579375+94768</f>
        <v>674143</v>
      </c>
    </row>
    <row r="122" spans="2:7" ht="13.7" customHeight="1" thickBot="1">
      <c r="B122" s="5"/>
      <c r="C122" s="85" t="s">
        <v>379</v>
      </c>
      <c r="D122" s="94">
        <f>SUM(D112:D121)</f>
        <v>127421897</v>
      </c>
      <c r="E122" s="138" t="s">
        <v>380</v>
      </c>
      <c r="F122" s="78" t="s">
        <v>381</v>
      </c>
      <c r="G122" s="232">
        <v>112051</v>
      </c>
    </row>
    <row r="123" spans="2:7" ht="13.7" customHeight="1" thickBot="1">
      <c r="B123" s="5" t="s">
        <v>382</v>
      </c>
      <c r="C123" s="123" t="s">
        <v>308</v>
      </c>
      <c r="D123" s="237">
        <v>25000</v>
      </c>
      <c r="E123" s="225"/>
      <c r="F123" s="85" t="s">
        <v>383</v>
      </c>
      <c r="G123" s="94">
        <f>SUM(G112:G122)</f>
        <v>2763544</v>
      </c>
    </row>
    <row r="124" spans="2:7" ht="13.7" customHeight="1">
      <c r="B124" s="5" t="s">
        <v>384</v>
      </c>
      <c r="C124" s="121" t="s">
        <v>312</v>
      </c>
      <c r="D124" s="238">
        <v>2370438</v>
      </c>
      <c r="E124" s="138" t="s">
        <v>385</v>
      </c>
      <c r="F124" s="121" t="s">
        <v>386</v>
      </c>
      <c r="G124" s="238">
        <v>25980043</v>
      </c>
    </row>
    <row r="125" spans="2:7" ht="13.7" customHeight="1">
      <c r="B125" s="5" t="s">
        <v>387</v>
      </c>
      <c r="C125" s="78" t="s">
        <v>388</v>
      </c>
      <c r="D125" s="238">
        <v>95813</v>
      </c>
      <c r="E125" s="138" t="s">
        <v>389</v>
      </c>
      <c r="F125" s="121" t="s">
        <v>390</v>
      </c>
      <c r="G125" s="238">
        <v>1516027</v>
      </c>
    </row>
    <row r="126" spans="2:7" ht="13.7" customHeight="1" thickBot="1">
      <c r="B126" s="5"/>
      <c r="C126" s="85" t="s">
        <v>391</v>
      </c>
      <c r="D126" s="94">
        <f>SUM(D123:D125)</f>
        <v>2491251</v>
      </c>
      <c r="E126" s="138" t="s">
        <v>392</v>
      </c>
      <c r="F126" s="121" t="s">
        <v>393</v>
      </c>
      <c r="G126" s="238">
        <v>0</v>
      </c>
    </row>
    <row r="127" spans="2:7" ht="13.7" customHeight="1">
      <c r="B127" s="5" t="s">
        <v>394</v>
      </c>
      <c r="C127" s="119" t="s">
        <v>273</v>
      </c>
      <c r="D127" s="237">
        <v>0</v>
      </c>
      <c r="E127" s="138" t="s">
        <v>395</v>
      </c>
      <c r="F127" s="121" t="s">
        <v>396</v>
      </c>
      <c r="G127" s="238">
        <v>0</v>
      </c>
    </row>
    <row r="128" spans="2:7" ht="13.7" customHeight="1">
      <c r="B128" s="5" t="s">
        <v>397</v>
      </c>
      <c r="C128" s="121" t="s">
        <v>398</v>
      </c>
      <c r="D128" s="238">
        <v>3392471</v>
      </c>
      <c r="E128" s="138" t="s">
        <v>399</v>
      </c>
      <c r="F128" s="121" t="s">
        <v>400</v>
      </c>
      <c r="G128" s="238">
        <v>0</v>
      </c>
    </row>
    <row r="129" spans="2:7" ht="13.7" customHeight="1">
      <c r="B129" s="5" t="s">
        <v>401</v>
      </c>
      <c r="C129" s="121" t="s">
        <v>276</v>
      </c>
      <c r="D129" s="238">
        <v>0</v>
      </c>
      <c r="E129" s="138" t="s">
        <v>402</v>
      </c>
      <c r="F129" s="121" t="s">
        <v>403</v>
      </c>
      <c r="G129" s="238">
        <v>1119</v>
      </c>
    </row>
    <row r="130" spans="2:7" ht="13.7" customHeight="1">
      <c r="B130" s="5" t="s">
        <v>404</v>
      </c>
      <c r="C130" s="121" t="s">
        <v>282</v>
      </c>
      <c r="D130" s="238">
        <v>0</v>
      </c>
      <c r="E130" s="138" t="s">
        <v>405</v>
      </c>
      <c r="F130" s="121" t="s">
        <v>406</v>
      </c>
      <c r="G130" s="238">
        <v>0</v>
      </c>
    </row>
    <row r="131" spans="2:7" ht="13.7" customHeight="1">
      <c r="B131" s="5" t="s">
        <v>407</v>
      </c>
      <c r="C131" s="121" t="s">
        <v>286</v>
      </c>
      <c r="D131" s="238">
        <v>0</v>
      </c>
      <c r="E131" s="138" t="s">
        <v>408</v>
      </c>
      <c r="F131" s="121" t="s">
        <v>409</v>
      </c>
      <c r="G131" s="238">
        <v>322152</v>
      </c>
    </row>
    <row r="132" spans="2:7" ht="13.7" customHeight="1">
      <c r="B132" s="5" t="s">
        <v>410</v>
      </c>
      <c r="C132" s="121" t="s">
        <v>290</v>
      </c>
      <c r="D132" s="238">
        <v>0</v>
      </c>
      <c r="E132" s="138" t="s">
        <v>411</v>
      </c>
      <c r="F132" s="121" t="s">
        <v>412</v>
      </c>
      <c r="G132" s="238">
        <v>18838</v>
      </c>
    </row>
    <row r="133" spans="2:7" ht="13.7" customHeight="1">
      <c r="B133" s="5" t="s">
        <v>413</v>
      </c>
      <c r="C133" s="121" t="s">
        <v>294</v>
      </c>
      <c r="D133" s="238">
        <v>6888502</v>
      </c>
      <c r="E133" s="138" t="s">
        <v>414</v>
      </c>
      <c r="F133" s="121" t="s">
        <v>415</v>
      </c>
      <c r="G133" s="238">
        <v>380000</v>
      </c>
    </row>
    <row r="134" spans="2:7" ht="13.7" customHeight="1">
      <c r="B134" s="5" t="s">
        <v>416</v>
      </c>
      <c r="C134" s="121" t="s">
        <v>417</v>
      </c>
      <c r="D134" s="238">
        <v>578519</v>
      </c>
      <c r="E134" s="138" t="s">
        <v>418</v>
      </c>
      <c r="F134" s="121" t="s">
        <v>419</v>
      </c>
      <c r="G134" s="238">
        <v>0</v>
      </c>
    </row>
    <row r="135" spans="2:7" ht="13.7" customHeight="1">
      <c r="B135" s="5" t="s">
        <v>420</v>
      </c>
      <c r="C135" s="121" t="s">
        <v>421</v>
      </c>
      <c r="D135" s="238">
        <v>22691376</v>
      </c>
      <c r="E135" s="138" t="s">
        <v>422</v>
      </c>
      <c r="F135" s="121" t="s">
        <v>423</v>
      </c>
      <c r="G135" s="238">
        <v>0</v>
      </c>
    </row>
    <row r="136" spans="2:7" ht="13.7" customHeight="1">
      <c r="B136" s="5" t="s">
        <v>424</v>
      </c>
      <c r="C136" s="121" t="s">
        <v>317</v>
      </c>
      <c r="D136" s="238">
        <f>1637826+165395+25709</f>
        <v>1828930</v>
      </c>
      <c r="E136" s="138" t="s">
        <v>425</v>
      </c>
      <c r="F136" s="121" t="s">
        <v>426</v>
      </c>
      <c r="G136" s="238">
        <v>0</v>
      </c>
    </row>
    <row r="137" spans="2:7" ht="13.7" customHeight="1">
      <c r="B137" s="5" t="s">
        <v>427</v>
      </c>
      <c r="C137" s="78" t="s">
        <v>319</v>
      </c>
      <c r="D137" s="239">
        <v>1357449</v>
      </c>
      <c r="E137" s="138" t="s">
        <v>428</v>
      </c>
      <c r="F137" s="121" t="s">
        <v>429</v>
      </c>
      <c r="G137" s="238">
        <f>586977+16843839</f>
        <v>17430816</v>
      </c>
    </row>
    <row r="138" spans="2:7" ht="13.7" customHeight="1" thickBot="1">
      <c r="B138" s="5"/>
      <c r="C138" s="85" t="s">
        <v>320</v>
      </c>
      <c r="D138" s="94">
        <f>SUM(D127:D137)</f>
        <v>36737247</v>
      </c>
      <c r="E138" s="138" t="s">
        <v>430</v>
      </c>
      <c r="F138" s="78" t="s">
        <v>431</v>
      </c>
      <c r="G138" s="232">
        <v>1481396</v>
      </c>
    </row>
    <row r="139" spans="2:7" ht="13.7" customHeight="1" thickBot="1">
      <c r="B139" s="5" t="s">
        <v>432</v>
      </c>
      <c r="C139" s="119" t="s">
        <v>326</v>
      </c>
      <c r="D139" s="120">
        <v>0</v>
      </c>
      <c r="E139" s="228"/>
      <c r="F139" s="85" t="s">
        <v>433</v>
      </c>
      <c r="G139" s="94">
        <f>SUM(G124:G138)</f>
        <v>47130391</v>
      </c>
    </row>
    <row r="140" spans="2:7" ht="13.7" customHeight="1" thickBot="1">
      <c r="B140" s="5" t="s">
        <v>434</v>
      </c>
      <c r="C140" s="121" t="s">
        <v>328</v>
      </c>
      <c r="D140" s="122">
        <v>0</v>
      </c>
      <c r="E140" s="228"/>
      <c r="F140" s="110" t="s">
        <v>435</v>
      </c>
      <c r="G140" s="126">
        <f>G123-G139</f>
        <v>-44366847</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[17]Amortizaciones!D33</f>
        <v>3806791</v>
      </c>
      <c r="E143" s="138"/>
      <c r="F143" s="72" t="s">
        <v>437</v>
      </c>
      <c r="G143" s="118">
        <f>+[17]E.S.P.!D6</f>
        <v>2021</v>
      </c>
    </row>
    <row r="144" spans="2:7" ht="13.7" customHeight="1">
      <c r="B144" s="5" t="s">
        <v>438</v>
      </c>
      <c r="C144" s="119" t="s">
        <v>439</v>
      </c>
      <c r="D144" s="120">
        <v>0</v>
      </c>
      <c r="E144" s="138" t="s">
        <v>440</v>
      </c>
      <c r="F144" s="119" t="s">
        <v>441</v>
      </c>
      <c r="G144" s="237">
        <v>2865966</v>
      </c>
    </row>
    <row r="145" spans="2:7" ht="13.7" customHeight="1">
      <c r="B145" s="5" t="s">
        <v>442</v>
      </c>
      <c r="C145" s="121" t="s">
        <v>443</v>
      </c>
      <c r="D145" s="122">
        <v>0</v>
      </c>
      <c r="E145" s="138" t="s">
        <v>444</v>
      </c>
      <c r="F145" s="121" t="s">
        <v>445</v>
      </c>
      <c r="G145" s="238">
        <v>73694</v>
      </c>
    </row>
    <row r="146" spans="2:7" ht="13.7" customHeight="1">
      <c r="B146" s="5" t="s">
        <v>446</v>
      </c>
      <c r="C146" s="128" t="s">
        <v>447</v>
      </c>
      <c r="D146" s="122">
        <v>0</v>
      </c>
      <c r="E146" s="138" t="s">
        <v>448</v>
      </c>
      <c r="F146" s="121" t="s">
        <v>449</v>
      </c>
      <c r="G146" s="238">
        <v>39388</v>
      </c>
    </row>
    <row r="147" spans="2:7" ht="13.7" customHeight="1">
      <c r="B147" s="5" t="s">
        <v>450</v>
      </c>
      <c r="C147" s="78" t="s">
        <v>451</v>
      </c>
      <c r="D147" s="124">
        <v>0</v>
      </c>
      <c r="E147" s="138" t="s">
        <v>452</v>
      </c>
      <c r="F147" s="121" t="s">
        <v>453</v>
      </c>
      <c r="G147" s="238">
        <v>0</v>
      </c>
    </row>
    <row r="148" spans="2:7" ht="13.7" customHeight="1" thickBot="1">
      <c r="B148" s="5"/>
      <c r="C148" s="85" t="s">
        <v>518</v>
      </c>
      <c r="D148" s="94">
        <f>SUM(D144:D147)</f>
        <v>0</v>
      </c>
      <c r="E148" s="138" t="s">
        <v>454</v>
      </c>
      <c r="F148" s="121" t="s">
        <v>455</v>
      </c>
      <c r="G148" s="238">
        <v>0</v>
      </c>
    </row>
    <row r="149" spans="2:7" ht="13.7" customHeight="1">
      <c r="B149" s="5" t="s">
        <v>456</v>
      </c>
      <c r="C149" s="119" t="s">
        <v>457</v>
      </c>
      <c r="D149" s="120">
        <v>0</v>
      </c>
      <c r="E149" s="138" t="s">
        <v>458</v>
      </c>
      <c r="F149" s="121" t="s">
        <v>459</v>
      </c>
      <c r="G149" s="238">
        <v>0</v>
      </c>
    </row>
    <row r="150" spans="2:7" ht="13.7" customHeight="1">
      <c r="B150" s="5" t="s">
        <v>460</v>
      </c>
      <c r="C150" s="121" t="s">
        <v>461</v>
      </c>
      <c r="D150" s="122">
        <v>0</v>
      </c>
      <c r="E150" s="138" t="s">
        <v>462</v>
      </c>
      <c r="F150" s="121" t="s">
        <v>463</v>
      </c>
      <c r="G150" s="238">
        <v>0</v>
      </c>
    </row>
    <row r="151" spans="2:7" ht="13.7" customHeight="1">
      <c r="B151" s="5" t="s">
        <v>464</v>
      </c>
      <c r="C151" s="78" t="s">
        <v>465</v>
      </c>
      <c r="D151" s="124">
        <v>0</v>
      </c>
      <c r="E151" s="138" t="s">
        <v>466</v>
      </c>
      <c r="F151" s="121" t="s">
        <v>467</v>
      </c>
      <c r="G151" s="238">
        <v>2232353</v>
      </c>
    </row>
    <row r="152" spans="2:7" ht="13.7" customHeight="1" thickBot="1">
      <c r="B152" s="5"/>
      <c r="C152" s="85" t="s">
        <v>516</v>
      </c>
      <c r="D152" s="94">
        <f>SUM(D149:D151)</f>
        <v>0</v>
      </c>
      <c r="E152" s="138" t="s">
        <v>469</v>
      </c>
      <c r="F152" s="121" t="s">
        <v>470</v>
      </c>
      <c r="G152" s="238">
        <v>0</v>
      </c>
    </row>
    <row r="153" spans="2:7" ht="15" customHeight="1" thickBot="1">
      <c r="B153" s="5"/>
      <c r="C153" s="110" t="s">
        <v>471</v>
      </c>
      <c r="D153" s="129">
        <f>D122+D126+D138+D142+D143+D148+D152</f>
        <v>170457186</v>
      </c>
      <c r="E153" s="138" t="s">
        <v>472</v>
      </c>
      <c r="F153" s="78" t="s">
        <v>473</v>
      </c>
      <c r="G153" s="232">
        <v>103891</v>
      </c>
    </row>
    <row r="154" spans="2:7" ht="13.7" customHeight="1" thickBot="1">
      <c r="B154" s="5"/>
      <c r="C154" s="116"/>
      <c r="D154" s="116"/>
      <c r="E154" s="138"/>
      <c r="F154" s="85" t="s">
        <v>474</v>
      </c>
      <c r="G154" s="94">
        <f>SUM(G144:G153)</f>
        <v>5315292</v>
      </c>
    </row>
    <row r="155" spans="2:7" ht="13.5" customHeight="1" thickBot="1">
      <c r="B155" s="5"/>
      <c r="C155" s="72" t="s">
        <v>475</v>
      </c>
      <c r="D155" s="103">
        <f>G109-D153</f>
        <v>61878479</v>
      </c>
      <c r="E155" s="138" t="s">
        <v>476</v>
      </c>
      <c r="F155" s="119" t="s">
        <v>477</v>
      </c>
      <c r="G155" s="237">
        <v>297921</v>
      </c>
    </row>
    <row r="156" spans="2:7" ht="13.7" customHeight="1">
      <c r="C156" s="116"/>
      <c r="D156" s="116"/>
      <c r="E156" s="138" t="s">
        <v>478</v>
      </c>
      <c r="F156" s="121" t="s">
        <v>479</v>
      </c>
      <c r="G156" s="238">
        <v>787599</v>
      </c>
    </row>
    <row r="157" spans="2:7" ht="13.7" customHeight="1">
      <c r="C157" s="116"/>
      <c r="D157" s="116"/>
      <c r="E157" s="138" t="s">
        <v>480</v>
      </c>
      <c r="F157" s="121" t="s">
        <v>481</v>
      </c>
      <c r="G157" s="238">
        <v>4191395</v>
      </c>
    </row>
    <row r="158" spans="2:7" ht="13.7" customHeight="1">
      <c r="C158" s="116"/>
      <c r="D158" s="116"/>
      <c r="E158" s="138" t="s">
        <v>482</v>
      </c>
      <c r="F158" s="121" t="s">
        <v>483</v>
      </c>
      <c r="G158" s="238">
        <v>0</v>
      </c>
    </row>
    <row r="159" spans="2:7" ht="13.7" customHeight="1">
      <c r="C159" s="116"/>
      <c r="D159" s="116"/>
      <c r="E159" s="138" t="s">
        <v>484</v>
      </c>
      <c r="F159" s="121" t="s">
        <v>485</v>
      </c>
      <c r="G159" s="238">
        <v>0</v>
      </c>
    </row>
    <row r="160" spans="2:7" ht="13.7" customHeight="1">
      <c r="C160" s="116"/>
      <c r="D160" s="116"/>
      <c r="E160" s="138" t="s">
        <v>486</v>
      </c>
      <c r="F160" s="121" t="s">
        <v>487</v>
      </c>
      <c r="G160" s="238">
        <v>62714</v>
      </c>
    </row>
    <row r="161" spans="3:7" ht="13.7" customHeight="1">
      <c r="C161" s="116"/>
      <c r="D161" s="116"/>
      <c r="E161" s="138" t="s">
        <v>488</v>
      </c>
      <c r="F161" s="121" t="s">
        <v>489</v>
      </c>
      <c r="G161" s="238">
        <v>682119</v>
      </c>
    </row>
    <row r="162" spans="3:7" ht="13.7" customHeight="1">
      <c r="C162" s="116"/>
      <c r="D162" s="116"/>
      <c r="E162" s="138" t="s">
        <v>490</v>
      </c>
      <c r="F162" s="121" t="s">
        <v>491</v>
      </c>
      <c r="G162" s="238">
        <v>0</v>
      </c>
    </row>
    <row r="163" spans="3:7" ht="13.7" customHeight="1">
      <c r="C163" s="116"/>
      <c r="D163" s="116"/>
      <c r="E163" s="138" t="s">
        <v>492</v>
      </c>
      <c r="F163" s="121" t="s">
        <v>493</v>
      </c>
      <c r="G163" s="238">
        <v>0</v>
      </c>
    </row>
    <row r="164" spans="3:7" ht="13.7" customHeight="1">
      <c r="C164" s="116"/>
      <c r="D164" s="116"/>
      <c r="E164" s="138" t="s">
        <v>494</v>
      </c>
      <c r="F164" s="121" t="s">
        <v>495</v>
      </c>
      <c r="G164" s="238">
        <v>0</v>
      </c>
    </row>
    <row r="165" spans="3:7" ht="13.7" customHeight="1">
      <c r="C165" s="116"/>
      <c r="D165" s="116"/>
      <c r="E165" s="138" t="s">
        <v>496</v>
      </c>
      <c r="F165" s="121" t="s">
        <v>497</v>
      </c>
      <c r="G165" s="238">
        <v>0</v>
      </c>
    </row>
    <row r="166" spans="3:7" ht="13.7" customHeight="1">
      <c r="C166" s="116"/>
      <c r="D166" s="116"/>
      <c r="E166" s="138" t="s">
        <v>498</v>
      </c>
      <c r="F166" s="121" t="s">
        <v>499</v>
      </c>
      <c r="G166" s="238">
        <v>0</v>
      </c>
    </row>
    <row r="167" spans="3:7" ht="13.7" customHeight="1">
      <c r="C167" s="116"/>
      <c r="D167" s="116"/>
      <c r="E167" s="138" t="s">
        <v>500</v>
      </c>
      <c r="F167" s="78" t="s">
        <v>501</v>
      </c>
      <c r="G167" s="232">
        <v>207835</v>
      </c>
    </row>
    <row r="168" spans="3:7" ht="13.7" customHeight="1" thickBot="1">
      <c r="C168" s="116"/>
      <c r="D168" s="116"/>
      <c r="E168" s="138"/>
      <c r="F168" s="85" t="s">
        <v>502</v>
      </c>
      <c r="G168" s="94">
        <f>SUM(G155:G167)</f>
        <v>6229583</v>
      </c>
    </row>
    <row r="169" spans="3:7" ht="13.7" customHeight="1" thickBot="1">
      <c r="C169" s="116"/>
      <c r="D169" s="116"/>
      <c r="E169" s="138"/>
      <c r="F169" s="110" t="s">
        <v>503</v>
      </c>
      <c r="G169" s="126">
        <f>G154-G168</f>
        <v>-914291</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16597341</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f>+[17]E.S.P.!H117</f>
        <v>5134097</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5134097</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21731438</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20:D21 D29 D35 D47:D48 D52:D61">
    <cfRule type="cellIs" dxfId="364" priority="111" stopIfTrue="1" operator="between">
      <formula>-0.1</formula>
      <formula>-50</formula>
    </cfRule>
    <cfRule type="cellIs" dxfId="363" priority="112" stopIfTrue="1" operator="between">
      <formula>0.1</formula>
      <formula>50</formula>
    </cfRule>
  </conditionalFormatting>
  <conditionalFormatting sqref="G154 G19 G27 G32:G33 G40 G48 G57 G79 G95 G101:G111 G123 G139:G143 G168:G181">
    <cfRule type="cellIs" dxfId="362" priority="109" stopIfTrue="1" operator="between">
      <formula>-0.1</formula>
      <formula>-50</formula>
    </cfRule>
    <cfRule type="cellIs" dxfId="361" priority="110" stopIfTrue="1" operator="between">
      <formula>0.1</formula>
      <formula>50</formula>
    </cfRule>
  </conditionalFormatting>
  <conditionalFormatting sqref="D111 D122 D138:D155 D126">
    <cfRule type="cellIs" dxfId="360" priority="107" stopIfTrue="1" operator="between">
      <formula>-0.1</formula>
      <formula>-50</formula>
    </cfRule>
    <cfRule type="cellIs" dxfId="359" priority="108" stopIfTrue="1" operator="between">
      <formula>0.1</formula>
      <formula>50</formula>
    </cfRule>
  </conditionalFormatting>
  <conditionalFormatting sqref="D7:D12">
    <cfRule type="cellIs" dxfId="358" priority="43" stopIfTrue="1" operator="greaterThan">
      <formula>50</formula>
    </cfRule>
    <cfRule type="cellIs" dxfId="357" priority="46" stopIfTrue="1" operator="equal">
      <formula>0</formula>
    </cfRule>
  </conditionalFormatting>
  <conditionalFormatting sqref="D7:D19">
    <cfRule type="cellIs" dxfId="356" priority="44" stopIfTrue="1" operator="between">
      <formula>-0.1</formula>
      <formula>-50</formula>
    </cfRule>
    <cfRule type="cellIs" dxfId="355" priority="45" stopIfTrue="1" operator="between">
      <formula>0.1</formula>
      <formula>50</formula>
    </cfRule>
  </conditionalFormatting>
  <conditionalFormatting sqref="D22:D28">
    <cfRule type="cellIs" dxfId="354" priority="41" stopIfTrue="1" operator="between">
      <formula>-0.1</formula>
      <formula>-50</formula>
    </cfRule>
    <cfRule type="cellIs" dxfId="353" priority="42" stopIfTrue="1" operator="between">
      <formula>0.1</formula>
      <formula>50</formula>
    </cfRule>
  </conditionalFormatting>
  <conditionalFormatting sqref="D30:D34">
    <cfRule type="cellIs" dxfId="352" priority="39" stopIfTrue="1" operator="between">
      <formula>-0.1</formula>
      <formula>-50</formula>
    </cfRule>
    <cfRule type="cellIs" dxfId="351" priority="40" stopIfTrue="1" operator="between">
      <formula>0.1</formula>
      <formula>50</formula>
    </cfRule>
  </conditionalFormatting>
  <conditionalFormatting sqref="D36:D46">
    <cfRule type="cellIs" dxfId="350" priority="37" stopIfTrue="1" operator="between">
      <formula>-0.1</formula>
      <formula>-50</formula>
    </cfRule>
    <cfRule type="cellIs" dxfId="349" priority="38" stopIfTrue="1" operator="between">
      <formula>0.1</formula>
      <formula>50</formula>
    </cfRule>
  </conditionalFormatting>
  <conditionalFormatting sqref="D49:D51">
    <cfRule type="cellIs" dxfId="348" priority="35" stopIfTrue="1" operator="between">
      <formula>-0.1</formula>
      <formula>-50</formula>
    </cfRule>
    <cfRule type="cellIs" dxfId="347" priority="36" stopIfTrue="1" operator="between">
      <formula>0.1</formula>
      <formula>50</formula>
    </cfRule>
  </conditionalFormatting>
  <conditionalFormatting sqref="D112:D121">
    <cfRule type="cellIs" dxfId="346" priority="33" stopIfTrue="1" operator="between">
      <formula>-0.1</formula>
      <formula>-50</formula>
    </cfRule>
    <cfRule type="cellIs" dxfId="345" priority="34" stopIfTrue="1" operator="between">
      <formula>0.1</formula>
      <formula>50</formula>
    </cfRule>
  </conditionalFormatting>
  <conditionalFormatting sqref="D123:D125">
    <cfRule type="cellIs" dxfId="344" priority="31" stopIfTrue="1" operator="between">
      <formula>-0.1</formula>
      <formula>-50</formula>
    </cfRule>
    <cfRule type="cellIs" dxfId="343" priority="32" stopIfTrue="1" operator="between">
      <formula>0.1</formula>
      <formula>50</formula>
    </cfRule>
  </conditionalFormatting>
  <conditionalFormatting sqref="D127:D137">
    <cfRule type="cellIs" dxfId="342" priority="29" stopIfTrue="1" operator="between">
      <formula>-0.1</formula>
      <formula>-50</formula>
    </cfRule>
    <cfRule type="cellIs" dxfId="341" priority="30" stopIfTrue="1" operator="between">
      <formula>0.1</formula>
      <formula>50</formula>
    </cfRule>
  </conditionalFormatting>
  <conditionalFormatting sqref="G7:G18">
    <cfRule type="cellIs" dxfId="340" priority="27" stopIfTrue="1" operator="between">
      <formula>-0.1</formula>
      <formula>-50</formula>
    </cfRule>
    <cfRule type="cellIs" dxfId="339" priority="28" stopIfTrue="1" operator="between">
      <formula>0.1</formula>
      <formula>50</formula>
    </cfRule>
  </conditionalFormatting>
  <conditionalFormatting sqref="G20:G26">
    <cfRule type="cellIs" dxfId="338" priority="25" stopIfTrue="1" operator="between">
      <formula>-0.1</formula>
      <formula>-50</formula>
    </cfRule>
    <cfRule type="cellIs" dxfId="337" priority="26" stopIfTrue="1" operator="between">
      <formula>0.1</formula>
      <formula>50</formula>
    </cfRule>
  </conditionalFormatting>
  <conditionalFormatting sqref="G28:G31">
    <cfRule type="cellIs" dxfId="336" priority="23" stopIfTrue="1" operator="between">
      <formula>-0.1</formula>
      <formula>-50</formula>
    </cfRule>
    <cfRule type="cellIs" dxfId="335" priority="24" stopIfTrue="1" operator="between">
      <formula>0.1</formula>
      <formula>50</formula>
    </cfRule>
  </conditionalFormatting>
  <conditionalFormatting sqref="G34:G39">
    <cfRule type="cellIs" dxfId="334" priority="21" stopIfTrue="1" operator="between">
      <formula>-0.1</formula>
      <formula>-50</formula>
    </cfRule>
    <cfRule type="cellIs" dxfId="333" priority="22" stopIfTrue="1" operator="between">
      <formula>0.1</formula>
      <formula>50</formula>
    </cfRule>
  </conditionalFormatting>
  <conditionalFormatting sqref="G41:G47">
    <cfRule type="cellIs" dxfId="332" priority="19" stopIfTrue="1" operator="between">
      <formula>-0.1</formula>
      <formula>-50</formula>
    </cfRule>
    <cfRule type="cellIs" dxfId="331" priority="20" stopIfTrue="1" operator="between">
      <formula>0.1</formula>
      <formula>50</formula>
    </cfRule>
  </conditionalFormatting>
  <conditionalFormatting sqref="G49:G56">
    <cfRule type="cellIs" dxfId="330" priority="17" stopIfTrue="1" operator="between">
      <formula>-0.1</formula>
      <formula>-50</formula>
    </cfRule>
    <cfRule type="cellIs" dxfId="329" priority="18" stopIfTrue="1" operator="between">
      <formula>0.1</formula>
      <formula>50</formula>
    </cfRule>
  </conditionalFormatting>
  <conditionalFormatting sqref="G58:G78">
    <cfRule type="cellIs" dxfId="328" priority="15" stopIfTrue="1" operator="between">
      <formula>-0.1</formula>
      <formula>-50</formula>
    </cfRule>
    <cfRule type="cellIs" dxfId="327" priority="16" stopIfTrue="1" operator="between">
      <formula>0.1</formula>
      <formula>50</formula>
    </cfRule>
  </conditionalFormatting>
  <conditionalFormatting sqref="G80:G94">
    <cfRule type="cellIs" dxfId="326" priority="13" stopIfTrue="1" operator="between">
      <formula>-0.1</formula>
      <formula>-50</formula>
    </cfRule>
    <cfRule type="cellIs" dxfId="325" priority="14" stopIfTrue="1" operator="between">
      <formula>0.1</formula>
      <formula>50</formula>
    </cfRule>
  </conditionalFormatting>
  <conditionalFormatting sqref="G96:G100">
    <cfRule type="cellIs" dxfId="324" priority="11" stopIfTrue="1" operator="between">
      <formula>-0.1</formula>
      <formula>-50</formula>
    </cfRule>
    <cfRule type="cellIs" dxfId="323" priority="12" stopIfTrue="1" operator="between">
      <formula>0.1</formula>
      <formula>50</formula>
    </cfRule>
  </conditionalFormatting>
  <conditionalFormatting sqref="G112:G122">
    <cfRule type="cellIs" dxfId="322" priority="9" stopIfTrue="1" operator="between">
      <formula>-0.1</formula>
      <formula>-50</formula>
    </cfRule>
    <cfRule type="cellIs" dxfId="321" priority="10" stopIfTrue="1" operator="between">
      <formula>0.1</formula>
      <formula>50</formula>
    </cfRule>
  </conditionalFormatting>
  <conditionalFormatting sqref="G124:G138">
    <cfRule type="cellIs" dxfId="320" priority="7" stopIfTrue="1" operator="between">
      <formula>-0.1</formula>
      <formula>-50</formula>
    </cfRule>
    <cfRule type="cellIs" dxfId="319" priority="8" stopIfTrue="1" operator="between">
      <formula>0.1</formula>
      <formula>50</formula>
    </cfRule>
  </conditionalFormatting>
  <conditionalFormatting sqref="G144:G150 G152:G153">
    <cfRule type="cellIs" dxfId="318" priority="5" stopIfTrue="1" operator="between">
      <formula>-0.1</formula>
      <formula>-50</formula>
    </cfRule>
    <cfRule type="cellIs" dxfId="317" priority="6" stopIfTrue="1" operator="between">
      <formula>0.1</formula>
      <formula>50</formula>
    </cfRule>
  </conditionalFormatting>
  <conditionalFormatting sqref="G151">
    <cfRule type="expression" dxfId="316" priority="4" stopIfTrue="1">
      <formula>AND($G$151&gt;0,$G$165&gt;0)</formula>
    </cfRule>
  </conditionalFormatting>
  <conditionalFormatting sqref="G155:G167">
    <cfRule type="cellIs" dxfId="315" priority="2" stopIfTrue="1" operator="between">
      <formula>-0.1</formula>
      <formula>-50</formula>
    </cfRule>
    <cfRule type="cellIs" dxfId="314" priority="3" stopIfTrue="1" operator="between">
      <formula>0.1</formula>
      <formula>50</formula>
    </cfRule>
  </conditionalFormatting>
  <conditionalFormatting sqref="G165">
    <cfRule type="expression" dxfId="313" priority="1" stopIfTrue="1">
      <formula>AND($G$165&gt;0,$G$151&gt;0)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62992125984251968" right="0.23622047244094491" top="0.35433070866141736" bottom="0.74803149606299213" header="0.31496062992125984" footer="0.31496062992125984"/>
  <pageSetup paperSize="9" scale="51" fitToHeight="2" orientation="portrait" r:id="rId1"/>
  <headerFooter alignWithMargins="0"/>
  <rowBreaks count="3" manualBreakCount="3">
    <brk id="79" min="2" max="8" man="1"/>
    <brk id="181" min="2" max="8" man="1"/>
    <brk id="185" min="2" max="8" man="1"/>
  </rowBreaks>
  <ignoredErrors>
    <ignoredError sqref="E7:E1048576" numberStoredAsText="1"/>
    <ignoredError sqref="G175 G137 D136 G121 G89:G98 G77 D50 D42 G23 D19:D24 G7" unlockedFormula="1"/>
    <ignoredError sqref="G4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8" sqref="C178"/>
    </sheetView>
  </sheetViews>
  <sheetFormatPr baseColWidth="10" defaultColWidth="0" defaultRowHeight="15.75" zeroHeight="1"/>
  <cols>
    <col min="1" max="1" width="3" style="1" customWidth="1"/>
    <col min="2" max="2" width="14.28515625" style="6" hidden="1" customWidth="1"/>
    <col min="3" max="3" width="57.140625" style="19" customWidth="1"/>
    <col min="4" max="4" width="21" style="19" customWidth="1"/>
    <col min="5" max="5" width="3.85546875" style="13" customWidth="1"/>
    <col min="6" max="6" width="57.28515625" style="19" customWidth="1"/>
    <col min="7" max="7" width="21" style="19" customWidth="1"/>
    <col min="8" max="8" width="3" style="4" customWidth="1"/>
    <col min="9" max="16384" width="0" style="4" hidden="1"/>
  </cols>
  <sheetData>
    <row r="1" spans="1:9">
      <c r="B1" s="2"/>
      <c r="C1" s="255" t="s">
        <v>0</v>
      </c>
      <c r="D1" s="258"/>
      <c r="E1" s="253" t="str">
        <f>[18]Presentacion!C3</f>
        <v>CAMEC - IAMPP</v>
      </c>
      <c r="F1" s="253"/>
      <c r="G1" s="136"/>
      <c r="H1" s="3"/>
    </row>
    <row r="2" spans="1:9">
      <c r="B2" s="5"/>
      <c r="C2" s="255" t="s">
        <v>1</v>
      </c>
      <c r="D2" s="258"/>
      <c r="E2" s="253" t="str">
        <f>[18]Presentacion!C4</f>
        <v>Colonia</v>
      </c>
      <c r="F2" s="253"/>
      <c r="G2" s="136"/>
      <c r="H2" s="3"/>
    </row>
    <row r="3" spans="1:9">
      <c r="B3" s="5"/>
      <c r="C3" s="255" t="s">
        <v>2</v>
      </c>
      <c r="D3" s="255"/>
      <c r="E3" s="254" t="s">
        <v>3</v>
      </c>
      <c r="F3" s="254"/>
      <c r="G3" s="136"/>
      <c r="H3" s="3"/>
    </row>
    <row r="4" spans="1:9" ht="10.5" customHeight="1" thickBot="1">
      <c r="C4" s="65"/>
      <c r="D4" s="7"/>
      <c r="E4" s="8"/>
      <c r="F4" s="9"/>
      <c r="G4" s="10"/>
    </row>
    <row r="5" spans="1:9" ht="16.5" customHeight="1" thickBot="1">
      <c r="B5" s="11"/>
      <c r="C5" s="72" t="s">
        <v>4</v>
      </c>
      <c r="D5" s="73" t="s">
        <v>5</v>
      </c>
      <c r="E5" s="137"/>
      <c r="F5" s="72" t="s">
        <v>6</v>
      </c>
      <c r="G5" s="73" t="s">
        <v>5</v>
      </c>
      <c r="I5" s="12"/>
    </row>
    <row r="6" spans="1:9" ht="12.75" customHeight="1" thickBot="1">
      <c r="B6" s="11"/>
      <c r="C6" s="75" t="s">
        <v>7</v>
      </c>
      <c r="D6" s="76">
        <f>+[18]E.S.P.!D6</f>
        <v>2021</v>
      </c>
      <c r="E6" s="138"/>
      <c r="F6" s="75" t="s">
        <v>8</v>
      </c>
      <c r="G6" s="76">
        <f>+D6</f>
        <v>2021</v>
      </c>
      <c r="H6" s="12"/>
    </row>
    <row r="7" spans="1:9">
      <c r="B7" s="5" t="s">
        <v>9</v>
      </c>
      <c r="C7" s="78" t="s">
        <v>10</v>
      </c>
      <c r="D7" s="79">
        <f>42695985+25902</f>
        <v>42721887</v>
      </c>
      <c r="E7" s="138" t="s">
        <v>11</v>
      </c>
      <c r="F7" s="80" t="s">
        <v>12</v>
      </c>
      <c r="G7" s="81">
        <v>15887559</v>
      </c>
    </row>
    <row r="8" spans="1:9">
      <c r="B8" s="5" t="s">
        <v>13</v>
      </c>
      <c r="C8" s="78" t="s">
        <v>14</v>
      </c>
      <c r="D8" s="79">
        <v>67189330</v>
      </c>
      <c r="E8" s="138" t="s">
        <v>15</v>
      </c>
      <c r="F8" s="78" t="s">
        <v>16</v>
      </c>
      <c r="G8" s="82">
        <v>59130934</v>
      </c>
    </row>
    <row r="9" spans="1:9">
      <c r="B9" s="5" t="s">
        <v>17</v>
      </c>
      <c r="C9" s="78" t="s">
        <v>18</v>
      </c>
      <c r="D9" s="79">
        <v>1410244351</v>
      </c>
      <c r="E9" s="138" t="s">
        <v>19</v>
      </c>
      <c r="F9" s="78" t="s">
        <v>20</v>
      </c>
      <c r="G9" s="79">
        <v>173909908</v>
      </c>
    </row>
    <row r="10" spans="1:9">
      <c r="B10" s="5" t="s">
        <v>21</v>
      </c>
      <c r="C10" s="78" t="s">
        <v>22</v>
      </c>
      <c r="D10" s="79">
        <v>147920247</v>
      </c>
      <c r="E10" s="138" t="s">
        <v>23</v>
      </c>
      <c r="F10" s="78" t="s">
        <v>24</v>
      </c>
      <c r="G10" s="79">
        <v>213752411</v>
      </c>
    </row>
    <row r="11" spans="1:9">
      <c r="B11" s="5" t="s">
        <v>25</v>
      </c>
      <c r="C11" s="78" t="s">
        <v>26</v>
      </c>
      <c r="D11" s="79">
        <v>34009282</v>
      </c>
      <c r="E11" s="138" t="s">
        <v>27</v>
      </c>
      <c r="F11" s="78" t="s">
        <v>28</v>
      </c>
      <c r="G11" s="79">
        <f>278868849+9509070</f>
        <v>288377919</v>
      </c>
    </row>
    <row r="12" spans="1:9">
      <c r="B12" s="5" t="s">
        <v>29</v>
      </c>
      <c r="C12" s="78" t="s">
        <v>30</v>
      </c>
      <c r="D12" s="79">
        <v>25674351</v>
      </c>
      <c r="E12" s="138" t="s">
        <v>31</v>
      </c>
      <c r="F12" s="78" t="s">
        <v>32</v>
      </c>
      <c r="G12" s="79">
        <v>82591003</v>
      </c>
    </row>
    <row r="13" spans="1:9">
      <c r="B13" s="5" t="s">
        <v>33</v>
      </c>
      <c r="C13" s="78" t="s">
        <v>34</v>
      </c>
      <c r="D13" s="79">
        <v>0</v>
      </c>
      <c r="E13" s="138" t="s">
        <v>35</v>
      </c>
      <c r="F13" s="78" t="s">
        <v>36</v>
      </c>
      <c r="G13" s="79">
        <v>88976362</v>
      </c>
    </row>
    <row r="14" spans="1:9">
      <c r="A14" s="14"/>
      <c r="B14" s="5" t="s">
        <v>37</v>
      </c>
      <c r="C14" s="78" t="s">
        <v>38</v>
      </c>
      <c r="D14" s="79">
        <v>0</v>
      </c>
      <c r="E14" s="138" t="s">
        <v>39</v>
      </c>
      <c r="F14" s="78" t="s">
        <v>40</v>
      </c>
      <c r="G14" s="79">
        <v>220222565</v>
      </c>
    </row>
    <row r="15" spans="1:9">
      <c r="B15" s="5" t="s">
        <v>41</v>
      </c>
      <c r="C15" s="83" t="s">
        <v>42</v>
      </c>
      <c r="D15" s="79">
        <v>0</v>
      </c>
      <c r="E15" s="138" t="s">
        <v>43</v>
      </c>
      <c r="F15" s="78" t="s">
        <v>44</v>
      </c>
      <c r="G15" s="79">
        <v>125214965</v>
      </c>
    </row>
    <row r="16" spans="1:9">
      <c r="B16" s="5" t="s">
        <v>45</v>
      </c>
      <c r="C16" s="78" t="s">
        <v>46</v>
      </c>
      <c r="D16" s="79">
        <v>0</v>
      </c>
      <c r="E16" s="138" t="s">
        <v>47</v>
      </c>
      <c r="F16" s="78" t="s">
        <v>48</v>
      </c>
      <c r="G16" s="79">
        <v>106775669</v>
      </c>
    </row>
    <row r="17" spans="1:7">
      <c r="B17" s="5" t="s">
        <v>49</v>
      </c>
      <c r="C17" s="78" t="s">
        <v>50</v>
      </c>
      <c r="D17" s="79">
        <v>0</v>
      </c>
      <c r="E17" s="138" t="s">
        <v>51</v>
      </c>
      <c r="F17" s="78" t="s">
        <v>52</v>
      </c>
      <c r="G17" s="79">
        <v>0</v>
      </c>
    </row>
    <row r="18" spans="1:7">
      <c r="A18" s="14"/>
      <c r="B18" s="5" t="s">
        <v>53</v>
      </c>
      <c r="C18" s="78" t="s">
        <v>54</v>
      </c>
      <c r="D18" s="79">
        <v>0</v>
      </c>
      <c r="E18" s="138" t="s">
        <v>55</v>
      </c>
      <c r="F18" s="78" t="s">
        <v>56</v>
      </c>
      <c r="G18" s="84">
        <v>40872436</v>
      </c>
    </row>
    <row r="19" spans="1:7" ht="16.5" thickBot="1">
      <c r="A19" s="14"/>
      <c r="B19" s="5" t="s">
        <v>57</v>
      </c>
      <c r="C19" s="78" t="s">
        <v>58</v>
      </c>
      <c r="D19" s="79">
        <v>60476765</v>
      </c>
      <c r="E19" s="138"/>
      <c r="F19" s="85" t="s">
        <v>59</v>
      </c>
      <c r="G19" s="86">
        <f>SUM(G7:G18)</f>
        <v>1415711731</v>
      </c>
    </row>
    <row r="20" spans="1:7" ht="16.5" thickBot="1">
      <c r="B20" s="5"/>
      <c r="C20" s="85" t="s">
        <v>60</v>
      </c>
      <c r="D20" s="86">
        <f>SUM(D7:D19)</f>
        <v>1788236213</v>
      </c>
      <c r="E20" s="138" t="s">
        <v>61</v>
      </c>
      <c r="F20" s="80" t="s">
        <v>62</v>
      </c>
      <c r="G20" s="81">
        <v>572058</v>
      </c>
    </row>
    <row r="21" spans="1:7">
      <c r="B21" s="5"/>
      <c r="C21" s="87" t="s">
        <v>63</v>
      </c>
      <c r="D21" s="88">
        <f>SUM(D22:D28)</f>
        <v>37393734</v>
      </c>
      <c r="E21" s="138" t="s">
        <v>64</v>
      </c>
      <c r="F21" s="78" t="s">
        <v>65</v>
      </c>
      <c r="G21" s="79">
        <v>42242230</v>
      </c>
    </row>
    <row r="22" spans="1:7">
      <c r="B22" s="5" t="s">
        <v>66</v>
      </c>
      <c r="C22" s="78" t="s">
        <v>67</v>
      </c>
      <c r="D22" s="79">
        <v>24011940</v>
      </c>
      <c r="E22" s="138" t="s">
        <v>68</v>
      </c>
      <c r="F22" s="78" t="s">
        <v>69</v>
      </c>
      <c r="G22" s="79">
        <v>7227574</v>
      </c>
    </row>
    <row r="23" spans="1:7">
      <c r="B23" s="5" t="s">
        <v>70</v>
      </c>
      <c r="C23" s="78" t="s">
        <v>71</v>
      </c>
      <c r="D23" s="79">
        <v>647565</v>
      </c>
      <c r="E23" s="138" t="s">
        <v>72</v>
      </c>
      <c r="F23" s="78" t="s">
        <v>73</v>
      </c>
      <c r="G23" s="79">
        <v>19714994</v>
      </c>
    </row>
    <row r="24" spans="1:7">
      <c r="B24" s="5" t="s">
        <v>74</v>
      </c>
      <c r="C24" s="78" t="s">
        <v>75</v>
      </c>
      <c r="D24" s="79">
        <v>5224665</v>
      </c>
      <c r="E24" s="138" t="s">
        <v>76</v>
      </c>
      <c r="F24" s="78" t="s">
        <v>77</v>
      </c>
      <c r="G24" s="79">
        <v>0</v>
      </c>
    </row>
    <row r="25" spans="1:7">
      <c r="B25" s="5" t="s">
        <v>78</v>
      </c>
      <c r="C25" s="78" t="s">
        <v>79</v>
      </c>
      <c r="D25" s="79">
        <v>1043889</v>
      </c>
      <c r="E25" s="138" t="s">
        <v>80</v>
      </c>
      <c r="F25" s="78" t="s">
        <v>81</v>
      </c>
      <c r="G25" s="79">
        <v>6522596</v>
      </c>
    </row>
    <row r="26" spans="1:7">
      <c r="B26" s="5" t="s">
        <v>82</v>
      </c>
      <c r="C26" s="78" t="s">
        <v>83</v>
      </c>
      <c r="D26" s="79">
        <v>4188138</v>
      </c>
      <c r="E26" s="138" t="s">
        <v>84</v>
      </c>
      <c r="F26" s="78" t="s">
        <v>85</v>
      </c>
      <c r="G26" s="84">
        <v>2297727</v>
      </c>
    </row>
    <row r="27" spans="1:7" ht="13.5" customHeight="1" thickBot="1">
      <c r="B27" s="5" t="s">
        <v>86</v>
      </c>
      <c r="C27" s="78" t="s">
        <v>87</v>
      </c>
      <c r="D27" s="79">
        <v>1095638</v>
      </c>
      <c r="E27" s="138"/>
      <c r="F27" s="85" t="s">
        <v>88</v>
      </c>
      <c r="G27" s="86">
        <f>SUM(G20:G26)</f>
        <v>78577179</v>
      </c>
    </row>
    <row r="28" spans="1:7">
      <c r="B28" s="5" t="s">
        <v>89</v>
      </c>
      <c r="C28" s="78" t="s">
        <v>90</v>
      </c>
      <c r="D28" s="79">
        <v>1181899</v>
      </c>
      <c r="E28" s="138" t="s">
        <v>91</v>
      </c>
      <c r="F28" s="80" t="s">
        <v>92</v>
      </c>
      <c r="G28" s="81">
        <v>2532205</v>
      </c>
    </row>
    <row r="29" spans="1:7">
      <c r="B29" s="5"/>
      <c r="C29" s="89" t="s">
        <v>93</v>
      </c>
      <c r="D29" s="88">
        <f>SUM(D30:D34)</f>
        <v>179910912</v>
      </c>
      <c r="E29" s="138" t="s">
        <v>94</v>
      </c>
      <c r="F29" s="78" t="s">
        <v>95</v>
      </c>
      <c r="G29" s="79">
        <v>6899693</v>
      </c>
    </row>
    <row r="30" spans="1:7">
      <c r="B30" s="5" t="s">
        <v>96</v>
      </c>
      <c r="C30" s="78" t="s">
        <v>97</v>
      </c>
      <c r="D30" s="79">
        <v>151739559</v>
      </c>
      <c r="E30" s="138" t="s">
        <v>98</v>
      </c>
      <c r="F30" s="78" t="s">
        <v>99</v>
      </c>
      <c r="G30" s="79">
        <v>0</v>
      </c>
    </row>
    <row r="31" spans="1:7">
      <c r="B31" s="5" t="s">
        <v>100</v>
      </c>
      <c r="C31" s="78" t="s">
        <v>101</v>
      </c>
      <c r="D31" s="79">
        <v>10567565</v>
      </c>
      <c r="E31" s="138" t="s">
        <v>102</v>
      </c>
      <c r="F31" s="78" t="s">
        <v>103</v>
      </c>
      <c r="G31" s="84">
        <v>236689</v>
      </c>
    </row>
    <row r="32" spans="1:7" ht="16.5" thickBot="1">
      <c r="B32" s="5" t="s">
        <v>104</v>
      </c>
      <c r="C32" s="78" t="s">
        <v>105</v>
      </c>
      <c r="D32" s="79">
        <v>10698632</v>
      </c>
      <c r="E32" s="138"/>
      <c r="F32" s="85" t="s">
        <v>106</v>
      </c>
      <c r="G32" s="86">
        <f>SUM(G28:G31)</f>
        <v>9668587</v>
      </c>
    </row>
    <row r="33" spans="2:7">
      <c r="B33" s="5" t="s">
        <v>107</v>
      </c>
      <c r="C33" s="78" t="s">
        <v>108</v>
      </c>
      <c r="D33" s="79">
        <v>5877819</v>
      </c>
      <c r="E33" s="138"/>
      <c r="F33" s="89" t="s">
        <v>109</v>
      </c>
      <c r="G33" s="88">
        <f>SUM(G34:G39)</f>
        <v>119893470</v>
      </c>
    </row>
    <row r="34" spans="2:7">
      <c r="B34" s="5" t="s">
        <v>110</v>
      </c>
      <c r="C34" s="78" t="s">
        <v>111</v>
      </c>
      <c r="D34" s="79">
        <v>1027337</v>
      </c>
      <c r="E34" s="138" t="s">
        <v>112</v>
      </c>
      <c r="F34" s="78" t="s">
        <v>113</v>
      </c>
      <c r="G34" s="79">
        <v>5841107</v>
      </c>
    </row>
    <row r="35" spans="2:7" ht="16.5" thickBot="1">
      <c r="B35" s="5"/>
      <c r="C35" s="85" t="s">
        <v>114</v>
      </c>
      <c r="D35" s="86">
        <f>+D21+D29</f>
        <v>217304646</v>
      </c>
      <c r="E35" s="138" t="s">
        <v>115</v>
      </c>
      <c r="F35" s="78" t="s">
        <v>116</v>
      </c>
      <c r="G35" s="79">
        <v>2039366</v>
      </c>
    </row>
    <row r="36" spans="2:7">
      <c r="B36" s="5" t="s">
        <v>117</v>
      </c>
      <c r="C36" s="78" t="s">
        <v>118</v>
      </c>
      <c r="D36" s="79">
        <v>2164380</v>
      </c>
      <c r="E36" s="138" t="s">
        <v>119</v>
      </c>
      <c r="F36" s="78" t="s">
        <v>517</v>
      </c>
      <c r="G36" s="79">
        <v>2029438</v>
      </c>
    </row>
    <row r="37" spans="2:7">
      <c r="B37" s="5" t="s">
        <v>120</v>
      </c>
      <c r="C37" s="78" t="s">
        <v>121</v>
      </c>
      <c r="D37" s="79">
        <v>35094003</v>
      </c>
      <c r="E37" s="138" t="s">
        <v>122</v>
      </c>
      <c r="F37" s="78" t="s">
        <v>123</v>
      </c>
      <c r="G37" s="79">
        <v>9994331</v>
      </c>
    </row>
    <row r="38" spans="2:7">
      <c r="B38" s="5" t="s">
        <v>124</v>
      </c>
      <c r="C38" s="78" t="s">
        <v>125</v>
      </c>
      <c r="D38" s="79">
        <v>136336</v>
      </c>
      <c r="E38" s="138" t="s">
        <v>126</v>
      </c>
      <c r="F38" s="78" t="s">
        <v>127</v>
      </c>
      <c r="G38" s="79">
        <v>13509645</v>
      </c>
    </row>
    <row r="39" spans="2:7">
      <c r="B39" s="5" t="s">
        <v>128</v>
      </c>
      <c r="C39" s="78" t="s">
        <v>129</v>
      </c>
      <c r="D39" s="79">
        <v>0</v>
      </c>
      <c r="E39" s="138" t="s">
        <v>130</v>
      </c>
      <c r="F39" s="78" t="s">
        <v>131</v>
      </c>
      <c r="G39" s="79">
        <v>86479583</v>
      </c>
    </row>
    <row r="40" spans="2:7">
      <c r="B40" s="5" t="s">
        <v>132</v>
      </c>
      <c r="C40" s="78" t="s">
        <v>133</v>
      </c>
      <c r="D40" s="79">
        <v>6539528</v>
      </c>
      <c r="E40" s="138"/>
      <c r="F40" s="90" t="s">
        <v>134</v>
      </c>
      <c r="G40" s="91">
        <f>SUM(G41:G46)</f>
        <v>47282767</v>
      </c>
    </row>
    <row r="41" spans="2:7">
      <c r="B41" s="5" t="s">
        <v>135</v>
      </c>
      <c r="C41" s="78" t="s">
        <v>136</v>
      </c>
      <c r="D41" s="79">
        <v>53976807</v>
      </c>
      <c r="E41" s="138" t="s">
        <v>137</v>
      </c>
      <c r="F41" s="78" t="s">
        <v>138</v>
      </c>
      <c r="G41" s="79">
        <v>7248672</v>
      </c>
    </row>
    <row r="42" spans="2:7">
      <c r="B42" s="5" t="s">
        <v>139</v>
      </c>
      <c r="C42" s="78" t="s">
        <v>140</v>
      </c>
      <c r="D42" s="79">
        <v>2005278</v>
      </c>
      <c r="E42" s="138" t="s">
        <v>141</v>
      </c>
      <c r="F42" s="78" t="s">
        <v>142</v>
      </c>
      <c r="G42" s="79">
        <v>5346</v>
      </c>
    </row>
    <row r="43" spans="2:7">
      <c r="B43" s="5" t="s">
        <v>143</v>
      </c>
      <c r="C43" s="78" t="s">
        <v>144</v>
      </c>
      <c r="D43" s="79">
        <v>0</v>
      </c>
      <c r="E43" s="138" t="s">
        <v>145</v>
      </c>
      <c r="F43" s="78" t="s">
        <v>146</v>
      </c>
      <c r="G43" s="79">
        <v>4140996</v>
      </c>
    </row>
    <row r="44" spans="2:7">
      <c r="B44" s="5" t="s">
        <v>147</v>
      </c>
      <c r="C44" s="78" t="s">
        <v>148</v>
      </c>
      <c r="D44" s="79">
        <v>0</v>
      </c>
      <c r="E44" s="138" t="s">
        <v>149</v>
      </c>
      <c r="F44" s="78" t="s">
        <v>150</v>
      </c>
      <c r="G44" s="79">
        <v>1794172</v>
      </c>
    </row>
    <row r="45" spans="2:7">
      <c r="B45" s="5" t="s">
        <v>151</v>
      </c>
      <c r="C45" s="78" t="s">
        <v>152</v>
      </c>
      <c r="D45" s="79">
        <f>29506+15372162+23329832+16839152+1569230</f>
        <v>57139882</v>
      </c>
      <c r="E45" s="138" t="s">
        <v>153</v>
      </c>
      <c r="F45" s="78" t="s">
        <v>154</v>
      </c>
      <c r="G45" s="79">
        <v>571982</v>
      </c>
    </row>
    <row r="46" spans="2:7">
      <c r="B46" s="5" t="s">
        <v>155</v>
      </c>
      <c r="C46" s="78" t="s">
        <v>156</v>
      </c>
      <c r="D46" s="79">
        <v>5359595</v>
      </c>
      <c r="E46" s="138" t="s">
        <v>157</v>
      </c>
      <c r="F46" s="78" t="s">
        <v>158</v>
      </c>
      <c r="G46" s="79">
        <v>33521599</v>
      </c>
    </row>
    <row r="47" spans="2:7" ht="16.5" thickBot="1">
      <c r="B47" s="5"/>
      <c r="C47" s="85" t="s">
        <v>159</v>
      </c>
      <c r="D47" s="86">
        <f>SUM(D36:D46)</f>
        <v>162415809</v>
      </c>
      <c r="E47" s="138" t="s">
        <v>160</v>
      </c>
      <c r="F47" s="78" t="s">
        <v>161</v>
      </c>
      <c r="G47" s="84">
        <v>1486417</v>
      </c>
    </row>
    <row r="48" spans="2:7" ht="16.5" thickBot="1">
      <c r="B48" s="5"/>
      <c r="C48" s="92" t="s">
        <v>162</v>
      </c>
      <c r="D48" s="93"/>
      <c r="E48" s="138"/>
      <c r="F48" s="85" t="s">
        <v>163</v>
      </c>
      <c r="G48" s="94">
        <f>+G33+G40+G47</f>
        <v>168662654</v>
      </c>
    </row>
    <row r="49" spans="2:7">
      <c r="B49" s="5" t="s">
        <v>164</v>
      </c>
      <c r="C49" s="95" t="s">
        <v>165</v>
      </c>
      <c r="D49" s="96">
        <v>0</v>
      </c>
      <c r="E49" s="138" t="s">
        <v>166</v>
      </c>
      <c r="F49" s="80" t="s">
        <v>167</v>
      </c>
      <c r="G49" s="81">
        <v>47439219</v>
      </c>
    </row>
    <row r="50" spans="2:7">
      <c r="B50" s="5" t="s">
        <v>168</v>
      </c>
      <c r="C50" s="78" t="s">
        <v>162</v>
      </c>
      <c r="D50" s="79">
        <v>25152515</v>
      </c>
      <c r="E50" s="138" t="s">
        <v>169</v>
      </c>
      <c r="F50" s="78" t="s">
        <v>170</v>
      </c>
      <c r="G50" s="79">
        <v>54526804</v>
      </c>
    </row>
    <row r="51" spans="2:7">
      <c r="B51" s="5" t="s">
        <v>171</v>
      </c>
      <c r="C51" s="78" t="s">
        <v>172</v>
      </c>
      <c r="D51" s="84">
        <v>269637</v>
      </c>
      <c r="E51" s="138" t="s">
        <v>173</v>
      </c>
      <c r="F51" s="78" t="s">
        <v>174</v>
      </c>
      <c r="G51" s="79">
        <v>5130391</v>
      </c>
    </row>
    <row r="52" spans="2:7" ht="16.5" thickBot="1">
      <c r="B52" s="11"/>
      <c r="C52" s="85" t="s">
        <v>175</v>
      </c>
      <c r="D52" s="86">
        <f>SUM(D49:D51)</f>
        <v>25422152</v>
      </c>
      <c r="E52" s="138" t="s">
        <v>176</v>
      </c>
      <c r="F52" s="78" t="s">
        <v>177</v>
      </c>
      <c r="G52" s="79">
        <v>0</v>
      </c>
    </row>
    <row r="53" spans="2:7" ht="16.5" thickBot="1">
      <c r="B53" s="5"/>
      <c r="C53" s="75" t="s">
        <v>178</v>
      </c>
      <c r="D53" s="97">
        <f>D20+D35+D47+D52</f>
        <v>2193378820</v>
      </c>
      <c r="E53" s="138" t="s">
        <v>179</v>
      </c>
      <c r="F53" s="78" t="s">
        <v>180</v>
      </c>
      <c r="G53" s="79">
        <v>24449413</v>
      </c>
    </row>
    <row r="54" spans="2:7">
      <c r="C54" s="98"/>
      <c r="D54" s="99"/>
      <c r="E54" s="138" t="s">
        <v>181</v>
      </c>
      <c r="F54" s="78" t="s">
        <v>182</v>
      </c>
      <c r="G54" s="79">
        <v>4193664</v>
      </c>
    </row>
    <row r="55" spans="2:7">
      <c r="C55" s="100" t="s">
        <v>183</v>
      </c>
      <c r="D55" s="101"/>
      <c r="E55" s="138" t="s">
        <v>184</v>
      </c>
      <c r="F55" s="78" t="s">
        <v>185</v>
      </c>
      <c r="G55" s="79">
        <v>20017180</v>
      </c>
    </row>
    <row r="56" spans="2:7">
      <c r="B56" s="5" t="s">
        <v>186</v>
      </c>
      <c r="C56" s="102" t="s">
        <v>187</v>
      </c>
      <c r="D56" s="79"/>
      <c r="E56" s="138" t="s">
        <v>188</v>
      </c>
      <c r="F56" s="78" t="s">
        <v>189</v>
      </c>
      <c r="G56" s="84">
        <v>1912483</v>
      </c>
    </row>
    <row r="57" spans="2:7" ht="14.25" customHeight="1" thickBot="1">
      <c r="B57" s="5" t="s">
        <v>190</v>
      </c>
      <c r="C57" s="102" t="s">
        <v>191</v>
      </c>
      <c r="D57" s="79"/>
      <c r="E57" s="138"/>
      <c r="F57" s="85" t="s">
        <v>192</v>
      </c>
      <c r="G57" s="86">
        <f>SUM(G49:G56)</f>
        <v>157669154</v>
      </c>
    </row>
    <row r="58" spans="2:7">
      <c r="B58" s="5" t="s">
        <v>193</v>
      </c>
      <c r="C58" s="102" t="s">
        <v>194</v>
      </c>
      <c r="D58" s="79"/>
      <c r="E58" s="138" t="s">
        <v>195</v>
      </c>
      <c r="F58" s="80" t="s">
        <v>196</v>
      </c>
      <c r="G58" s="81">
        <v>26306765</v>
      </c>
    </row>
    <row r="59" spans="2:7">
      <c r="B59" s="5" t="s">
        <v>197</v>
      </c>
      <c r="C59" s="78" t="s">
        <v>198</v>
      </c>
      <c r="D59" s="84"/>
      <c r="E59" s="138" t="s">
        <v>199</v>
      </c>
      <c r="F59" s="78" t="s">
        <v>200</v>
      </c>
      <c r="G59" s="79">
        <v>23290840</v>
      </c>
    </row>
    <row r="60" spans="2:7" ht="16.5" thickBot="1">
      <c r="B60" s="5"/>
      <c r="C60" s="85" t="s">
        <v>201</v>
      </c>
      <c r="D60" s="86">
        <f>SUM(D56:D59)</f>
        <v>0</v>
      </c>
      <c r="E60" s="138" t="s">
        <v>202</v>
      </c>
      <c r="F60" s="78" t="s">
        <v>203</v>
      </c>
      <c r="G60" s="79">
        <v>1158956</v>
      </c>
    </row>
    <row r="61" spans="2:7" ht="16.5" thickBot="1">
      <c r="B61" s="15"/>
      <c r="C61" s="72" t="s">
        <v>204</v>
      </c>
      <c r="D61" s="103">
        <f>D53+D60</f>
        <v>2193378820</v>
      </c>
      <c r="E61" s="138" t="s">
        <v>205</v>
      </c>
      <c r="F61" s="78" t="s">
        <v>206</v>
      </c>
      <c r="G61" s="79">
        <v>4228937</v>
      </c>
    </row>
    <row r="62" spans="2:7">
      <c r="B62" s="16"/>
      <c r="C62" s="116"/>
      <c r="D62" s="116"/>
      <c r="E62" s="138" t="s">
        <v>207</v>
      </c>
      <c r="F62" s="78" t="s">
        <v>208</v>
      </c>
      <c r="G62" s="79">
        <v>0</v>
      </c>
    </row>
    <row r="63" spans="2:7">
      <c r="B63" s="17"/>
      <c r="C63" s="222" t="s">
        <v>8</v>
      </c>
      <c r="D63" s="222"/>
      <c r="E63" s="138" t="s">
        <v>209</v>
      </c>
      <c r="F63" s="78" t="s">
        <v>210</v>
      </c>
      <c r="G63" s="79">
        <v>7817201</v>
      </c>
    </row>
    <row r="64" spans="2:7">
      <c r="B64" s="18" t="s">
        <v>211</v>
      </c>
      <c r="C64" s="223" t="s">
        <v>212</v>
      </c>
      <c r="D64" s="223">
        <f>[18]Amortizaciones!D6</f>
        <v>21188042</v>
      </c>
      <c r="E64" s="138" t="s">
        <v>213</v>
      </c>
      <c r="F64" s="78" t="s">
        <v>214</v>
      </c>
      <c r="G64" s="79">
        <v>1197562</v>
      </c>
    </row>
    <row r="65" spans="2:7">
      <c r="B65" s="18" t="s">
        <v>215</v>
      </c>
      <c r="C65" s="223" t="s">
        <v>216</v>
      </c>
      <c r="D65" s="223">
        <f>[18]Amortizaciones!D7</f>
        <v>0</v>
      </c>
      <c r="E65" s="138" t="s">
        <v>217</v>
      </c>
      <c r="F65" s="78" t="s">
        <v>218</v>
      </c>
      <c r="G65" s="79">
        <v>60528</v>
      </c>
    </row>
    <row r="66" spans="2:7">
      <c r="B66" s="18" t="s">
        <v>219</v>
      </c>
      <c r="C66" s="223" t="s">
        <v>220</v>
      </c>
      <c r="D66" s="223">
        <f>[18]Amortizaciones!D8</f>
        <v>24367914</v>
      </c>
      <c r="E66" s="138" t="s">
        <v>221</v>
      </c>
      <c r="F66" s="78" t="s">
        <v>222</v>
      </c>
      <c r="G66" s="79">
        <v>14039595</v>
      </c>
    </row>
    <row r="67" spans="2:7">
      <c r="B67" s="18" t="s">
        <v>223</v>
      </c>
      <c r="C67" s="223" t="s">
        <v>224</v>
      </c>
      <c r="D67" s="223">
        <f>[18]Amortizaciones!D9</f>
        <v>0</v>
      </c>
      <c r="E67" s="138" t="s">
        <v>225</v>
      </c>
      <c r="F67" s="78" t="s">
        <v>226</v>
      </c>
      <c r="G67" s="79">
        <v>329741</v>
      </c>
    </row>
    <row r="68" spans="2:7">
      <c r="B68" s="18" t="s">
        <v>227</v>
      </c>
      <c r="C68" s="223" t="s">
        <v>228</v>
      </c>
      <c r="D68" s="223">
        <f>[18]Amortizaciones!D10</f>
        <v>4331186</v>
      </c>
      <c r="E68" s="138" t="s">
        <v>229</v>
      </c>
      <c r="F68" s="78" t="s">
        <v>230</v>
      </c>
      <c r="G68" s="79">
        <v>0</v>
      </c>
    </row>
    <row r="69" spans="2:7">
      <c r="B69" s="18" t="s">
        <v>231</v>
      </c>
      <c r="C69" s="223" t="s">
        <v>232</v>
      </c>
      <c r="D69" s="223">
        <f>[18]Amortizaciones!D11</f>
        <v>838968</v>
      </c>
      <c r="E69" s="138" t="s">
        <v>233</v>
      </c>
      <c r="F69" s="78" t="s">
        <v>234</v>
      </c>
      <c r="G69" s="79">
        <v>987770</v>
      </c>
    </row>
    <row r="70" spans="2:7">
      <c r="B70" s="18" t="s">
        <v>235</v>
      </c>
      <c r="C70" s="223" t="s">
        <v>236</v>
      </c>
      <c r="D70" s="223">
        <f>[18]Amortizaciones!D12</f>
        <v>3185372</v>
      </c>
      <c r="E70" s="138" t="s">
        <v>237</v>
      </c>
      <c r="F70" s="78" t="s">
        <v>238</v>
      </c>
      <c r="G70" s="79">
        <v>2610994</v>
      </c>
    </row>
    <row r="71" spans="2:7">
      <c r="B71" s="18" t="s">
        <v>239</v>
      </c>
      <c r="C71" s="223" t="s">
        <v>240</v>
      </c>
      <c r="D71" s="223">
        <f>[18]Amortizaciones!D13</f>
        <v>0</v>
      </c>
      <c r="E71" s="138" t="s">
        <v>241</v>
      </c>
      <c r="F71" s="78" t="s">
        <v>242</v>
      </c>
      <c r="G71" s="79">
        <v>0</v>
      </c>
    </row>
    <row r="72" spans="2:7">
      <c r="B72" s="18" t="s">
        <v>243</v>
      </c>
      <c r="C72" s="223" t="s">
        <v>244</v>
      </c>
      <c r="D72" s="223">
        <f>[18]Amortizaciones!D14</f>
        <v>0</v>
      </c>
      <c r="E72" s="138" t="s">
        <v>245</v>
      </c>
      <c r="F72" s="78" t="s">
        <v>246</v>
      </c>
      <c r="G72" s="79">
        <v>1708309</v>
      </c>
    </row>
    <row r="73" spans="2:7">
      <c r="B73" s="18" t="s">
        <v>247</v>
      </c>
      <c r="C73" s="223" t="s">
        <v>248</v>
      </c>
      <c r="D73" s="223">
        <f>[18]Amortizaciones!D15</f>
        <v>0</v>
      </c>
      <c r="E73" s="138" t="s">
        <v>249</v>
      </c>
      <c r="F73" s="78" t="s">
        <v>250</v>
      </c>
      <c r="G73" s="79">
        <v>0</v>
      </c>
    </row>
    <row r="74" spans="2:7">
      <c r="B74" s="18" t="s">
        <v>251</v>
      </c>
      <c r="C74" s="223" t="s">
        <v>252</v>
      </c>
      <c r="D74" s="223">
        <f>[18]Amortizaciones!D16</f>
        <v>0</v>
      </c>
      <c r="E74" s="138" t="s">
        <v>253</v>
      </c>
      <c r="F74" s="78" t="s">
        <v>254</v>
      </c>
      <c r="G74" s="79">
        <v>0</v>
      </c>
    </row>
    <row r="75" spans="2:7">
      <c r="B75" s="18" t="s">
        <v>255</v>
      </c>
      <c r="C75" s="223" t="s">
        <v>256</v>
      </c>
      <c r="D75" s="223">
        <f>[18]Amortizaciones!D17</f>
        <v>0</v>
      </c>
      <c r="E75" s="138" t="s">
        <v>257</v>
      </c>
      <c r="F75" s="78" t="s">
        <v>258</v>
      </c>
      <c r="G75" s="79">
        <v>6542872</v>
      </c>
    </row>
    <row r="76" spans="2:7">
      <c r="B76" s="18" t="s">
        <v>259</v>
      </c>
      <c r="C76" s="223" t="s">
        <v>260</v>
      </c>
      <c r="D76" s="223">
        <f>[18]Amortizaciones!D18</f>
        <v>0</v>
      </c>
      <c r="E76" s="138" t="s">
        <v>261</v>
      </c>
      <c r="F76" s="78" t="s">
        <v>262</v>
      </c>
      <c r="G76" s="79">
        <v>33993257</v>
      </c>
    </row>
    <row r="77" spans="2:7">
      <c r="B77" s="18" t="s">
        <v>263</v>
      </c>
      <c r="C77" s="223" t="s">
        <v>264</v>
      </c>
      <c r="D77" s="223">
        <f>SUM(D64:D76)</f>
        <v>53911482</v>
      </c>
      <c r="E77" s="138" t="s">
        <v>265</v>
      </c>
      <c r="F77" s="78" t="s">
        <v>266</v>
      </c>
      <c r="G77" s="79">
        <f>5432595+25162+3443709+3646+5976+61036+10304432+2936261</f>
        <v>22212817</v>
      </c>
    </row>
    <row r="78" spans="2:7">
      <c r="B78" s="18"/>
      <c r="C78" s="223"/>
      <c r="D78" s="223"/>
      <c r="E78" s="138" t="s">
        <v>267</v>
      </c>
      <c r="F78" s="78" t="s">
        <v>268</v>
      </c>
      <c r="G78" s="84">
        <v>4909397</v>
      </c>
    </row>
    <row r="79" spans="2:7" ht="16.5" thickBot="1">
      <c r="B79" s="18"/>
      <c r="C79" s="222" t="s">
        <v>269</v>
      </c>
      <c r="D79" s="224"/>
      <c r="E79" s="240"/>
      <c r="F79" s="85" t="s">
        <v>270</v>
      </c>
      <c r="G79" s="86">
        <f>SUM(G58:G78)</f>
        <v>151395541</v>
      </c>
    </row>
    <row r="80" spans="2:7">
      <c r="B80" s="18" t="s">
        <v>271</v>
      </c>
      <c r="C80" s="223" t="s">
        <v>236</v>
      </c>
      <c r="D80" s="223">
        <f>[18]Amortizaciones!D22</f>
        <v>0</v>
      </c>
      <c r="E80" s="138" t="s">
        <v>272</v>
      </c>
      <c r="F80" s="80" t="s">
        <v>273</v>
      </c>
      <c r="G80" s="81">
        <v>5057402</v>
      </c>
    </row>
    <row r="81" spans="2:7">
      <c r="B81" s="18" t="s">
        <v>274</v>
      </c>
      <c r="C81" s="223" t="s">
        <v>240</v>
      </c>
      <c r="D81" s="223">
        <f>[18]Amortizaciones!D23</f>
        <v>903225</v>
      </c>
      <c r="E81" s="138" t="s">
        <v>275</v>
      </c>
      <c r="F81" s="78" t="s">
        <v>276</v>
      </c>
      <c r="G81" s="79">
        <v>0</v>
      </c>
    </row>
    <row r="82" spans="2:7">
      <c r="B82" s="18" t="s">
        <v>277</v>
      </c>
      <c r="C82" s="223" t="s">
        <v>244</v>
      </c>
      <c r="D82" s="223">
        <f>[18]Amortizaciones!D24</f>
        <v>4001848</v>
      </c>
      <c r="E82" s="138" t="s">
        <v>278</v>
      </c>
      <c r="F82" s="78" t="s">
        <v>279</v>
      </c>
      <c r="G82" s="79">
        <v>3537215</v>
      </c>
    </row>
    <row r="83" spans="2:7">
      <c r="B83" s="18" t="s">
        <v>280</v>
      </c>
      <c r="C83" s="223" t="s">
        <v>248</v>
      </c>
      <c r="D83" s="223">
        <f>[18]Amortizaciones!D25</f>
        <v>0</v>
      </c>
      <c r="E83" s="138" t="s">
        <v>281</v>
      </c>
      <c r="F83" s="78" t="s">
        <v>282</v>
      </c>
      <c r="G83" s="79">
        <v>6474727</v>
      </c>
    </row>
    <row r="84" spans="2:7">
      <c r="B84" s="18" t="s">
        <v>283</v>
      </c>
      <c r="C84" s="223" t="s">
        <v>284</v>
      </c>
      <c r="D84" s="223">
        <v>0</v>
      </c>
      <c r="E84" s="138" t="s">
        <v>285</v>
      </c>
      <c r="F84" s="78" t="s">
        <v>286</v>
      </c>
      <c r="G84" s="79">
        <v>13706519</v>
      </c>
    </row>
    <row r="85" spans="2:7">
      <c r="B85" s="18" t="s">
        <v>287</v>
      </c>
      <c r="C85" s="223" t="s">
        <v>288</v>
      </c>
      <c r="D85" s="223">
        <f>[18]Amortizaciones!D27</f>
        <v>0</v>
      </c>
      <c r="E85" s="138" t="s">
        <v>289</v>
      </c>
      <c r="F85" s="78" t="s">
        <v>290</v>
      </c>
      <c r="G85" s="79">
        <v>9870589</v>
      </c>
    </row>
    <row r="86" spans="2:7" ht="13.5" customHeight="1">
      <c r="B86" s="18" t="s">
        <v>291</v>
      </c>
      <c r="C86" s="223" t="s">
        <v>292</v>
      </c>
      <c r="D86" s="223">
        <f>[18]Amortizaciones!D28</f>
        <v>0</v>
      </c>
      <c r="E86" s="138" t="s">
        <v>293</v>
      </c>
      <c r="F86" s="78" t="s">
        <v>294</v>
      </c>
      <c r="G86" s="79">
        <f>466626+457618+471205</f>
        <v>1395449</v>
      </c>
    </row>
    <row r="87" spans="2:7" ht="13.5" customHeight="1">
      <c r="B87" s="18" t="s">
        <v>295</v>
      </c>
      <c r="C87" s="223" t="s">
        <v>296</v>
      </c>
      <c r="D87" s="223">
        <f>[18]Amortizaciones!D29</f>
        <v>0</v>
      </c>
      <c r="E87" s="138" t="s">
        <v>297</v>
      </c>
      <c r="F87" s="78" t="s">
        <v>298</v>
      </c>
      <c r="G87" s="79">
        <v>817093</v>
      </c>
    </row>
    <row r="88" spans="2:7" ht="13.5" customHeight="1">
      <c r="B88" s="18" t="s">
        <v>299</v>
      </c>
      <c r="C88" s="223" t="s">
        <v>300</v>
      </c>
      <c r="D88" s="223">
        <f>[18]Amortizaciones!D30</f>
        <v>2255937</v>
      </c>
      <c r="E88" s="138" t="s">
        <v>301</v>
      </c>
      <c r="F88" s="78" t="s">
        <v>302</v>
      </c>
      <c r="G88" s="79">
        <v>3333436</v>
      </c>
    </row>
    <row r="89" spans="2:7">
      <c r="B89" s="18" t="s">
        <v>303</v>
      </c>
      <c r="C89" s="223" t="s">
        <v>212</v>
      </c>
      <c r="D89" s="223">
        <f>[18]Amortizaciones!D31</f>
        <v>0</v>
      </c>
      <c r="E89" s="138" t="s">
        <v>304</v>
      </c>
      <c r="F89" s="78" t="s">
        <v>305</v>
      </c>
      <c r="G89" s="79">
        <v>17544161</v>
      </c>
    </row>
    <row r="90" spans="2:7" ht="14.25" customHeight="1">
      <c r="B90" s="18" t="s">
        <v>306</v>
      </c>
      <c r="C90" s="223" t="s">
        <v>228</v>
      </c>
      <c r="D90" s="223">
        <f>[18]Amortizaciones!D32</f>
        <v>0</v>
      </c>
      <c r="E90" s="138" t="s">
        <v>307</v>
      </c>
      <c r="F90" s="78" t="s">
        <v>308</v>
      </c>
      <c r="G90" s="79">
        <v>0</v>
      </c>
    </row>
    <row r="91" spans="2:7" ht="14.25" customHeight="1">
      <c r="B91" s="18" t="s">
        <v>309</v>
      </c>
      <c r="C91" s="223" t="s">
        <v>310</v>
      </c>
      <c r="D91" s="223">
        <f>SUM(D80:D90)</f>
        <v>7161010</v>
      </c>
      <c r="E91" s="225" t="s">
        <v>311</v>
      </c>
      <c r="F91" s="78" t="s">
        <v>312</v>
      </c>
      <c r="G91" s="79">
        <v>0</v>
      </c>
    </row>
    <row r="92" spans="2:7" ht="14.25" customHeight="1">
      <c r="B92" s="18"/>
      <c r="C92" s="226" t="s">
        <v>313</v>
      </c>
      <c r="D92" s="223">
        <f>D77+D91</f>
        <v>61072492</v>
      </c>
      <c r="E92" s="225" t="s">
        <v>314</v>
      </c>
      <c r="F92" s="78" t="s">
        <v>315</v>
      </c>
      <c r="G92" s="79">
        <v>0</v>
      </c>
    </row>
    <row r="93" spans="2:7">
      <c r="C93" s="116"/>
      <c r="D93" s="116"/>
      <c r="E93" s="225" t="s">
        <v>316</v>
      </c>
      <c r="F93" s="78" t="s">
        <v>317</v>
      </c>
      <c r="G93" s="79">
        <v>1073768</v>
      </c>
    </row>
    <row r="94" spans="2:7">
      <c r="C94" s="116"/>
      <c r="D94" s="116"/>
      <c r="E94" s="225" t="s">
        <v>318</v>
      </c>
      <c r="F94" s="78" t="s">
        <v>319</v>
      </c>
      <c r="G94" s="84">
        <v>2179603</v>
      </c>
    </row>
    <row r="95" spans="2:7" ht="13.5" customHeight="1" thickBot="1">
      <c r="C95" s="116"/>
      <c r="D95" s="116"/>
      <c r="E95" s="138"/>
      <c r="F95" s="85" t="s">
        <v>320</v>
      </c>
      <c r="G95" s="86">
        <f>SUM(G80:G94)</f>
        <v>64989962</v>
      </c>
    </row>
    <row r="96" spans="2:7">
      <c r="C96" s="116"/>
      <c r="D96" s="116"/>
      <c r="E96" s="225" t="s">
        <v>321</v>
      </c>
      <c r="F96" s="80" t="s">
        <v>322</v>
      </c>
      <c r="G96" s="81">
        <v>6506181</v>
      </c>
    </row>
    <row r="97" spans="2:7">
      <c r="C97" s="116"/>
      <c r="D97" s="116"/>
      <c r="E97" s="225" t="s">
        <v>323</v>
      </c>
      <c r="F97" s="78" t="s">
        <v>324</v>
      </c>
      <c r="G97" s="79">
        <f>4257889+2424752</f>
        <v>6682641</v>
      </c>
    </row>
    <row r="98" spans="2:7">
      <c r="C98" s="116"/>
      <c r="D98" s="116"/>
      <c r="E98" s="225" t="s">
        <v>325</v>
      </c>
      <c r="F98" s="78" t="s">
        <v>326</v>
      </c>
      <c r="G98" s="79">
        <v>1758775</v>
      </c>
    </row>
    <row r="99" spans="2:7">
      <c r="C99" s="116"/>
      <c r="D99" s="116"/>
      <c r="E99" s="225" t="s">
        <v>327</v>
      </c>
      <c r="F99" s="78" t="s">
        <v>328</v>
      </c>
      <c r="G99" s="79">
        <f>185874+10007000+3753817+755589</f>
        <v>14702280</v>
      </c>
    </row>
    <row r="100" spans="2:7">
      <c r="C100" s="116"/>
      <c r="D100" s="116"/>
      <c r="E100" s="225" t="s">
        <v>329</v>
      </c>
      <c r="F100" s="78" t="s">
        <v>330</v>
      </c>
      <c r="G100" s="84">
        <v>151040</v>
      </c>
    </row>
    <row r="101" spans="2:7" ht="12.75" customHeight="1" thickBot="1">
      <c r="C101" s="116"/>
      <c r="D101" s="116"/>
      <c r="E101" s="138"/>
      <c r="F101" s="85" t="s">
        <v>331</v>
      </c>
      <c r="G101" s="86">
        <f>SUM(G96:G100)</f>
        <v>29800917</v>
      </c>
    </row>
    <row r="102" spans="2:7" ht="12.75" customHeight="1" thickBot="1">
      <c r="C102" s="116"/>
      <c r="D102" s="116"/>
      <c r="E102" s="225"/>
      <c r="F102" s="110" t="s">
        <v>332</v>
      </c>
      <c r="G102" s="111">
        <f>[18]Amortizaciones!D19</f>
        <v>53911482</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2130387207</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62991613</v>
      </c>
    </row>
    <row r="110" spans="2:7" ht="6.75" customHeight="1" thickBot="1">
      <c r="B110" s="5"/>
      <c r="C110" s="227"/>
      <c r="D110" s="227"/>
      <c r="E110" s="138"/>
      <c r="F110" s="116"/>
      <c r="G110" s="116"/>
    </row>
    <row r="111" spans="2:7" ht="15" customHeight="1" thickBot="1">
      <c r="C111" s="72" t="s">
        <v>269</v>
      </c>
      <c r="D111" s="118">
        <f>+[18]E.S.P.!D6</f>
        <v>2021</v>
      </c>
      <c r="E111" s="225"/>
      <c r="F111" s="72" t="s">
        <v>340</v>
      </c>
      <c r="G111" s="118">
        <f>+[18]E.S.P.!D6</f>
        <v>2021</v>
      </c>
    </row>
    <row r="112" spans="2:7" ht="13.7" customHeight="1">
      <c r="B112" s="5" t="s">
        <v>341</v>
      </c>
      <c r="C112" s="119" t="s">
        <v>342</v>
      </c>
      <c r="D112" s="120">
        <v>17482493</v>
      </c>
      <c r="E112" s="138" t="s">
        <v>343</v>
      </c>
      <c r="F112" s="119" t="s">
        <v>308</v>
      </c>
      <c r="G112" s="120">
        <v>210747</v>
      </c>
    </row>
    <row r="113" spans="2:7" ht="13.7" customHeight="1">
      <c r="B113" s="5" t="s">
        <v>344</v>
      </c>
      <c r="C113" s="121" t="s">
        <v>345</v>
      </c>
      <c r="D113" s="122">
        <v>18189334</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732380</v>
      </c>
      <c r="E115" s="138" t="s">
        <v>353</v>
      </c>
      <c r="F115" s="121" t="s">
        <v>354</v>
      </c>
      <c r="G115" s="122">
        <v>0</v>
      </c>
    </row>
    <row r="116" spans="2:7" ht="13.7" customHeight="1">
      <c r="B116" s="5" t="s">
        <v>355</v>
      </c>
      <c r="C116" s="121" t="s">
        <v>356</v>
      </c>
      <c r="D116" s="122">
        <v>759253</v>
      </c>
      <c r="E116" s="138" t="s">
        <v>357</v>
      </c>
      <c r="F116" s="121" t="s">
        <v>358</v>
      </c>
      <c r="G116" s="122">
        <v>0</v>
      </c>
    </row>
    <row r="117" spans="2:7" ht="13.7" customHeight="1">
      <c r="B117" s="5" t="s">
        <v>359</v>
      </c>
      <c r="C117" s="121" t="s">
        <v>360</v>
      </c>
      <c r="D117" s="122">
        <v>0</v>
      </c>
      <c r="E117" s="138" t="s">
        <v>361</v>
      </c>
      <c r="F117" s="121" t="s">
        <v>362</v>
      </c>
      <c r="G117" s="122">
        <v>708273</v>
      </c>
    </row>
    <row r="118" spans="2:7" ht="13.7" customHeight="1">
      <c r="B118" s="5" t="s">
        <v>363</v>
      </c>
      <c r="C118" s="121" t="s">
        <v>364</v>
      </c>
      <c r="D118" s="122">
        <v>0</v>
      </c>
      <c r="E118" s="138" t="s">
        <v>365</v>
      </c>
      <c r="F118" s="121" t="s">
        <v>366</v>
      </c>
      <c r="G118" s="122">
        <v>0</v>
      </c>
    </row>
    <row r="119" spans="2:7" ht="13.7" customHeight="1">
      <c r="B119" s="5" t="s">
        <v>367</v>
      </c>
      <c r="C119" s="121" t="s">
        <v>368</v>
      </c>
      <c r="D119" s="122">
        <v>841330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1359790</v>
      </c>
      <c r="E121" s="138" t="s">
        <v>377</v>
      </c>
      <c r="F121" s="121" t="s">
        <v>378</v>
      </c>
      <c r="G121" s="122">
        <v>3437304</v>
      </c>
    </row>
    <row r="122" spans="2:7" ht="13.7" customHeight="1" thickBot="1">
      <c r="B122" s="5"/>
      <c r="C122" s="85" t="s">
        <v>379</v>
      </c>
      <c r="D122" s="94">
        <f>SUM(D112:D121)</f>
        <v>39364580</v>
      </c>
      <c r="E122" s="138" t="s">
        <v>380</v>
      </c>
      <c r="F122" s="78" t="s">
        <v>381</v>
      </c>
      <c r="G122" s="79">
        <v>245219</v>
      </c>
    </row>
    <row r="123" spans="2:7" ht="13.7" customHeight="1" thickBot="1">
      <c r="B123" s="5" t="s">
        <v>382</v>
      </c>
      <c r="C123" s="123" t="s">
        <v>308</v>
      </c>
      <c r="D123" s="120">
        <v>870774</v>
      </c>
      <c r="E123" s="225"/>
      <c r="F123" s="85" t="s">
        <v>383</v>
      </c>
      <c r="G123" s="94">
        <f>SUM(G112:G122)</f>
        <v>4601543</v>
      </c>
    </row>
    <row r="124" spans="2:7" ht="13.7" customHeight="1">
      <c r="B124" s="5" t="s">
        <v>384</v>
      </c>
      <c r="C124" s="121" t="s">
        <v>312</v>
      </c>
      <c r="D124" s="122">
        <v>6879</v>
      </c>
      <c r="E124" s="138" t="s">
        <v>385</v>
      </c>
      <c r="F124" s="121" t="s">
        <v>386</v>
      </c>
      <c r="G124" s="122">
        <v>2115191</v>
      </c>
    </row>
    <row r="125" spans="2:7" ht="13.7" customHeight="1">
      <c r="B125" s="5" t="s">
        <v>387</v>
      </c>
      <c r="C125" s="78" t="s">
        <v>388</v>
      </c>
      <c r="D125" s="122">
        <v>29917</v>
      </c>
      <c r="E125" s="138" t="s">
        <v>389</v>
      </c>
      <c r="F125" s="121" t="s">
        <v>390</v>
      </c>
      <c r="G125" s="122">
        <v>0</v>
      </c>
    </row>
    <row r="126" spans="2:7" ht="13.7" customHeight="1" thickBot="1">
      <c r="B126" s="5"/>
      <c r="C126" s="85" t="s">
        <v>391</v>
      </c>
      <c r="D126" s="94">
        <f>SUM(D123:D125)</f>
        <v>907570</v>
      </c>
      <c r="E126" s="138" t="s">
        <v>392</v>
      </c>
      <c r="F126" s="121" t="s">
        <v>393</v>
      </c>
      <c r="G126" s="122">
        <v>0</v>
      </c>
    </row>
    <row r="127" spans="2:7" ht="13.7" customHeight="1">
      <c r="B127" s="5" t="s">
        <v>394</v>
      </c>
      <c r="C127" s="119" t="s">
        <v>273</v>
      </c>
      <c r="D127" s="120">
        <v>0</v>
      </c>
      <c r="E127" s="138" t="s">
        <v>395</v>
      </c>
      <c r="F127" s="121" t="s">
        <v>396</v>
      </c>
      <c r="G127" s="122">
        <v>0</v>
      </c>
    </row>
    <row r="128" spans="2:7" ht="13.7" customHeight="1">
      <c r="B128" s="5" t="s">
        <v>397</v>
      </c>
      <c r="C128" s="121" t="s">
        <v>398</v>
      </c>
      <c r="D128" s="122">
        <v>0</v>
      </c>
      <c r="E128" s="138" t="s">
        <v>399</v>
      </c>
      <c r="F128" s="121" t="s">
        <v>400</v>
      </c>
      <c r="G128" s="122">
        <v>0</v>
      </c>
    </row>
    <row r="129" spans="2:7" ht="13.7" customHeight="1">
      <c r="B129" s="5" t="s">
        <v>401</v>
      </c>
      <c r="C129" s="121" t="s">
        <v>276</v>
      </c>
      <c r="D129" s="122">
        <v>0</v>
      </c>
      <c r="E129" s="138" t="s">
        <v>402</v>
      </c>
      <c r="F129" s="121" t="s">
        <v>403</v>
      </c>
      <c r="G129" s="122">
        <v>0</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0</v>
      </c>
    </row>
    <row r="133" spans="2:7" ht="13.7" customHeight="1">
      <c r="B133" s="5" t="s">
        <v>413</v>
      </c>
      <c r="C133" s="121" t="s">
        <v>294</v>
      </c>
      <c r="D133" s="122">
        <v>0</v>
      </c>
      <c r="E133" s="138" t="s">
        <v>414</v>
      </c>
      <c r="F133" s="121" t="s">
        <v>415</v>
      </c>
      <c r="G133" s="122">
        <v>7134662</v>
      </c>
    </row>
    <row r="134" spans="2:7" ht="13.7" customHeight="1">
      <c r="B134" s="5" t="s">
        <v>416</v>
      </c>
      <c r="C134" s="121" t="s">
        <v>417</v>
      </c>
      <c r="D134" s="122">
        <v>4461326</v>
      </c>
      <c r="E134" s="138" t="s">
        <v>418</v>
      </c>
      <c r="F134" s="121" t="s">
        <v>419</v>
      </c>
      <c r="G134" s="122">
        <v>0</v>
      </c>
    </row>
    <row r="135" spans="2:7" ht="13.7" customHeight="1">
      <c r="B135" s="5" t="s">
        <v>420</v>
      </c>
      <c r="C135" s="121" t="s">
        <v>421</v>
      </c>
      <c r="D135" s="122">
        <v>0</v>
      </c>
      <c r="E135" s="138" t="s">
        <v>422</v>
      </c>
      <c r="F135" s="121" t="s">
        <v>423</v>
      </c>
      <c r="G135" s="122">
        <v>0</v>
      </c>
    </row>
    <row r="136" spans="2:7" ht="13.7" customHeight="1">
      <c r="B136" s="5" t="s">
        <v>424</v>
      </c>
      <c r="C136" s="121" t="s">
        <v>317</v>
      </c>
      <c r="D136" s="122">
        <v>9111082</v>
      </c>
      <c r="E136" s="138" t="s">
        <v>425</v>
      </c>
      <c r="F136" s="121" t="s">
        <v>426</v>
      </c>
      <c r="G136" s="122">
        <v>0</v>
      </c>
    </row>
    <row r="137" spans="2:7" ht="13.7" customHeight="1">
      <c r="B137" s="5" t="s">
        <v>427</v>
      </c>
      <c r="C137" s="78" t="s">
        <v>319</v>
      </c>
      <c r="D137" s="124">
        <v>459283</v>
      </c>
      <c r="E137" s="138" t="s">
        <v>428</v>
      </c>
      <c r="F137" s="121" t="s">
        <v>429</v>
      </c>
      <c r="G137" s="122">
        <f>8276884+344581+2420976+1707277</f>
        <v>12749718</v>
      </c>
    </row>
    <row r="138" spans="2:7" ht="13.7" customHeight="1" thickBot="1">
      <c r="B138" s="5"/>
      <c r="C138" s="85" t="s">
        <v>320</v>
      </c>
      <c r="D138" s="94">
        <f>SUM(D127:D137)</f>
        <v>14031691</v>
      </c>
      <c r="E138" s="138" t="s">
        <v>430</v>
      </c>
      <c r="F138" s="78" t="s">
        <v>431</v>
      </c>
      <c r="G138" s="79">
        <v>363031</v>
      </c>
    </row>
    <row r="139" spans="2:7" ht="13.7" customHeight="1" thickBot="1">
      <c r="B139" s="5" t="s">
        <v>432</v>
      </c>
      <c r="C139" s="119" t="s">
        <v>326</v>
      </c>
      <c r="D139" s="120">
        <v>0</v>
      </c>
      <c r="E139" s="228"/>
      <c r="F139" s="85" t="s">
        <v>433</v>
      </c>
      <c r="G139" s="94">
        <f>SUM(G124:G138)</f>
        <v>22362602</v>
      </c>
    </row>
    <row r="140" spans="2:7" ht="13.7" customHeight="1" thickBot="1">
      <c r="B140" s="5" t="s">
        <v>434</v>
      </c>
      <c r="C140" s="121" t="s">
        <v>328</v>
      </c>
      <c r="D140" s="122">
        <v>0</v>
      </c>
      <c r="E140" s="228"/>
      <c r="F140" s="110" t="s">
        <v>435</v>
      </c>
      <c r="G140" s="126">
        <f>G123-G139</f>
        <v>-17761059</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[18]Amortizaciones!D33</f>
        <v>7161010</v>
      </c>
      <c r="E143" s="138"/>
      <c r="F143" s="72" t="s">
        <v>437</v>
      </c>
      <c r="G143" s="118">
        <f>+[18]E.S.P.!D6</f>
        <v>2021</v>
      </c>
    </row>
    <row r="144" spans="2:7" ht="13.7" customHeight="1">
      <c r="B144" s="5" t="s">
        <v>438</v>
      </c>
      <c r="C144" s="119" t="s">
        <v>439</v>
      </c>
      <c r="D144" s="120">
        <v>3605152</v>
      </c>
      <c r="E144" s="138" t="s">
        <v>440</v>
      </c>
      <c r="F144" s="119" t="s">
        <v>441</v>
      </c>
      <c r="G144" s="120">
        <v>11058722</v>
      </c>
    </row>
    <row r="145" spans="2:7" ht="13.7" customHeight="1">
      <c r="B145" s="5" t="s">
        <v>442</v>
      </c>
      <c r="C145" s="121" t="s">
        <v>443</v>
      </c>
      <c r="D145" s="122">
        <v>325200</v>
      </c>
      <c r="E145" s="138" t="s">
        <v>444</v>
      </c>
      <c r="F145" s="121" t="s">
        <v>445</v>
      </c>
      <c r="G145" s="122">
        <v>1842771</v>
      </c>
    </row>
    <row r="146" spans="2:7" ht="13.7" customHeight="1">
      <c r="B146" s="5" t="s">
        <v>446</v>
      </c>
      <c r="C146" s="128" t="s">
        <v>447</v>
      </c>
      <c r="D146" s="122">
        <v>0</v>
      </c>
      <c r="E146" s="138" t="s">
        <v>448</v>
      </c>
      <c r="F146" s="121" t="s">
        <v>449</v>
      </c>
      <c r="G146" s="122">
        <v>2396015</v>
      </c>
    </row>
    <row r="147" spans="2:7" ht="13.7" customHeight="1">
      <c r="B147" s="5" t="s">
        <v>450</v>
      </c>
      <c r="C147" s="78" t="s">
        <v>451</v>
      </c>
      <c r="D147" s="124">
        <v>124281</v>
      </c>
      <c r="E147" s="138" t="s">
        <v>452</v>
      </c>
      <c r="F147" s="121" t="s">
        <v>453</v>
      </c>
      <c r="G147" s="122">
        <v>0</v>
      </c>
    </row>
    <row r="148" spans="2:7" ht="13.7" customHeight="1" thickBot="1">
      <c r="B148" s="5"/>
      <c r="C148" s="85" t="s">
        <v>518</v>
      </c>
      <c r="D148" s="94">
        <f>SUM(D144:D147)</f>
        <v>4054633</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0</v>
      </c>
    </row>
    <row r="152" spans="2:7" ht="13.7" customHeight="1" thickBot="1">
      <c r="B152" s="5"/>
      <c r="C152" s="85" t="s">
        <v>516</v>
      </c>
      <c r="D152" s="94">
        <f>SUM(D149:D151)</f>
        <v>0</v>
      </c>
      <c r="E152" s="138" t="s">
        <v>469</v>
      </c>
      <c r="F152" s="121" t="s">
        <v>470</v>
      </c>
      <c r="G152" s="122">
        <v>0</v>
      </c>
    </row>
    <row r="153" spans="2:7" ht="15" customHeight="1" thickBot="1">
      <c r="B153" s="5"/>
      <c r="C153" s="110" t="s">
        <v>471</v>
      </c>
      <c r="D153" s="129">
        <f>D122+D126+D138+D142+D143+D148+D152</f>
        <v>65519484</v>
      </c>
      <c r="E153" s="138" t="s">
        <v>472</v>
      </c>
      <c r="F153" s="78" t="s">
        <v>473</v>
      </c>
      <c r="G153" s="79">
        <v>585395</v>
      </c>
    </row>
    <row r="154" spans="2:7" ht="13.7" customHeight="1" thickBot="1">
      <c r="B154" s="5"/>
      <c r="C154" s="116"/>
      <c r="D154" s="116"/>
      <c r="E154" s="138"/>
      <c r="F154" s="85" t="s">
        <v>474</v>
      </c>
      <c r="G154" s="94">
        <f>SUM(G144:G153)</f>
        <v>15882903</v>
      </c>
    </row>
    <row r="155" spans="2:7" ht="13.5" customHeight="1" thickBot="1">
      <c r="B155" s="5"/>
      <c r="C155" s="72" t="s">
        <v>475</v>
      </c>
      <c r="D155" s="103">
        <f>G109-D153</f>
        <v>-2527871</v>
      </c>
      <c r="E155" s="138" t="s">
        <v>476</v>
      </c>
      <c r="F155" s="119" t="s">
        <v>477</v>
      </c>
      <c r="G155" s="120">
        <v>163870</v>
      </c>
    </row>
    <row r="156" spans="2:7" ht="13.7" customHeight="1">
      <c r="C156" s="116"/>
      <c r="D156" s="116"/>
      <c r="E156" s="138" t="s">
        <v>478</v>
      </c>
      <c r="F156" s="121" t="s">
        <v>479</v>
      </c>
      <c r="G156" s="122">
        <v>106626</v>
      </c>
    </row>
    <row r="157" spans="2:7" ht="13.7" customHeight="1">
      <c r="C157" s="116"/>
      <c r="D157" s="116"/>
      <c r="E157" s="138" t="s">
        <v>480</v>
      </c>
      <c r="F157" s="121" t="s">
        <v>481</v>
      </c>
      <c r="G157" s="122">
        <v>1123180</v>
      </c>
    </row>
    <row r="158" spans="2:7" ht="13.7" customHeight="1">
      <c r="C158" s="116"/>
      <c r="D158" s="116"/>
      <c r="E158" s="138" t="s">
        <v>482</v>
      </c>
      <c r="F158" s="121" t="s">
        <v>483</v>
      </c>
      <c r="G158" s="122">
        <v>409738</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18462163</v>
      </c>
    </row>
    <row r="166" spans="3:7" ht="13.7" customHeight="1">
      <c r="C166" s="116"/>
      <c r="D166" s="116"/>
      <c r="E166" s="138" t="s">
        <v>498</v>
      </c>
      <c r="F166" s="121" t="s">
        <v>499</v>
      </c>
      <c r="G166" s="122">
        <v>4349076</v>
      </c>
    </row>
    <row r="167" spans="3:7" ht="13.7" customHeight="1">
      <c r="C167" s="116"/>
      <c r="D167" s="116"/>
      <c r="E167" s="138" t="s">
        <v>500</v>
      </c>
      <c r="F167" s="78" t="s">
        <v>501</v>
      </c>
      <c r="G167" s="79">
        <v>182673</v>
      </c>
    </row>
    <row r="168" spans="3:7" ht="13.7" customHeight="1" thickBot="1">
      <c r="C168" s="116"/>
      <c r="D168" s="116"/>
      <c r="E168" s="138"/>
      <c r="F168" s="85" t="s">
        <v>502</v>
      </c>
      <c r="G168" s="94">
        <f>SUM(G155:G167)</f>
        <v>24797326</v>
      </c>
    </row>
    <row r="169" spans="3:7" ht="13.7" customHeight="1" thickBot="1">
      <c r="C169" s="116"/>
      <c r="D169" s="116"/>
      <c r="E169" s="138"/>
      <c r="F169" s="110" t="s">
        <v>503</v>
      </c>
      <c r="G169" s="126">
        <f>G154-G168</f>
        <v>-8914423</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-29203353</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90813</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90813</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-29112540</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312" priority="140" stopIfTrue="1" operator="greaterThan">
      <formula>50</formula>
    </cfRule>
    <cfRule type="cellIs" dxfId="311" priority="148" stopIfTrue="1" operator="equal">
      <formula>0</formula>
    </cfRule>
  </conditionalFormatting>
  <conditionalFormatting sqref="D7:D61">
    <cfRule type="cellIs" dxfId="310" priority="146" stopIfTrue="1" operator="between">
      <formula>-0.1</formula>
      <formula>-50</formula>
    </cfRule>
    <cfRule type="cellIs" dxfId="309" priority="147" stopIfTrue="1" operator="between">
      <formula>0.1</formula>
      <formula>50</formula>
    </cfRule>
  </conditionalFormatting>
  <conditionalFormatting sqref="G7:G150 G152:G181">
    <cfRule type="cellIs" dxfId="308" priority="144" stopIfTrue="1" operator="between">
      <formula>-0.1</formula>
      <formula>-50</formula>
    </cfRule>
    <cfRule type="cellIs" dxfId="307" priority="145" stopIfTrue="1" operator="between">
      <formula>0.1</formula>
      <formula>50</formula>
    </cfRule>
  </conditionalFormatting>
  <conditionalFormatting sqref="D111:D155">
    <cfRule type="cellIs" dxfId="306" priority="142" stopIfTrue="1" operator="between">
      <formula>-0.1</formula>
      <formula>-50</formula>
    </cfRule>
    <cfRule type="cellIs" dxfId="305" priority="143" stopIfTrue="1" operator="between">
      <formula>0.1</formula>
      <formula>50</formula>
    </cfRule>
  </conditionalFormatting>
  <conditionalFormatting sqref="G165">
    <cfRule type="expression" dxfId="304" priority="141" stopIfTrue="1">
      <formula>AND($G$165&gt;0,$G$151&gt;0)</formula>
    </cfRule>
  </conditionalFormatting>
  <conditionalFormatting sqref="G151">
    <cfRule type="expression" dxfId="303" priority="139"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64" fitToHeight="0" orientation="portrait" r:id="rId1"/>
  <headerFooter alignWithMargins="0"/>
  <rowBreaks count="3" manualBreakCount="3">
    <brk id="79" min="2" max="8" man="1"/>
    <brk id="181" min="2" max="8" man="1"/>
    <brk id="185" min="2" max="8" man="1"/>
  </rowBreaks>
  <ignoredErrors>
    <ignoredError sqref="E7:E1048576" numberStoredAsText="1"/>
    <ignoredError sqref="G137 G97:G99 G86 G77 D45 D7 G11" unlockedFormula="1"/>
    <ignoredError sqref="G4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C164" sqref="C164"/>
    </sheetView>
  </sheetViews>
  <sheetFormatPr baseColWidth="10" defaultColWidth="0" defaultRowHeight="15.75" zeroHeight="1"/>
  <cols>
    <col min="1" max="1" width="3" style="22" customWidth="1"/>
    <col min="2" max="2" width="14.28515625" style="27" hidden="1" customWidth="1"/>
    <col min="3" max="3" width="57.42578125" style="40" customWidth="1"/>
    <col min="4" max="4" width="21" style="40" customWidth="1"/>
    <col min="5" max="5" width="3.85546875" style="34" customWidth="1"/>
    <col min="6" max="6" width="57.28515625" style="40" customWidth="1"/>
    <col min="7" max="7" width="21" style="40" customWidth="1"/>
    <col min="8" max="8" width="3.28515625" style="25" customWidth="1"/>
    <col min="9" max="16384" width="0" style="25" hidden="1"/>
  </cols>
  <sheetData>
    <row r="1" spans="1:9">
      <c r="B1" s="23"/>
      <c r="C1" s="255" t="s">
        <v>0</v>
      </c>
      <c r="D1" s="258"/>
      <c r="E1" s="253" t="str">
        <f>[19]Presentacion!C3</f>
        <v>CAMOC - IAMPP</v>
      </c>
      <c r="F1" s="253"/>
      <c r="G1" s="136"/>
      <c r="H1" s="24"/>
    </row>
    <row r="2" spans="1:9">
      <c r="B2" s="26"/>
      <c r="C2" s="255" t="s">
        <v>1</v>
      </c>
      <c r="D2" s="258"/>
      <c r="E2" s="253" t="str">
        <f>[19]Presentacion!C4</f>
        <v>Colonia</v>
      </c>
      <c r="F2" s="253"/>
      <c r="G2" s="136"/>
      <c r="H2" s="24"/>
    </row>
    <row r="3" spans="1:9">
      <c r="B3" s="26"/>
      <c r="C3" s="255" t="s">
        <v>2</v>
      </c>
      <c r="D3" s="255"/>
      <c r="E3" s="254" t="s">
        <v>3</v>
      </c>
      <c r="F3" s="254"/>
      <c r="G3" s="136"/>
      <c r="H3" s="24"/>
    </row>
    <row r="4" spans="1:9" ht="11.25" customHeight="1" thickBot="1">
      <c r="C4" s="66"/>
      <c r="D4" s="28"/>
      <c r="E4" s="29"/>
      <c r="F4" s="30"/>
      <c r="G4" s="31"/>
    </row>
    <row r="5" spans="1:9" ht="18" customHeight="1" thickBot="1">
      <c r="B5" s="32"/>
      <c r="C5" s="72" t="s">
        <v>4</v>
      </c>
      <c r="D5" s="73" t="s">
        <v>5</v>
      </c>
      <c r="E5" s="241"/>
      <c r="F5" s="72" t="s">
        <v>6</v>
      </c>
      <c r="G5" s="73" t="s">
        <v>5</v>
      </c>
      <c r="I5" s="33"/>
    </row>
    <row r="6" spans="1:9" ht="12.75" customHeight="1" thickBot="1">
      <c r="B6" s="32"/>
      <c r="C6" s="75" t="s">
        <v>7</v>
      </c>
      <c r="D6" s="76">
        <f>+[19]E.S.P.!D6</f>
        <v>2021</v>
      </c>
      <c r="E6" s="242"/>
      <c r="F6" s="75" t="s">
        <v>8</v>
      </c>
      <c r="G6" s="76">
        <f>+D6</f>
        <v>2021</v>
      </c>
      <c r="H6" s="33"/>
    </row>
    <row r="7" spans="1:9">
      <c r="B7" s="26" t="s">
        <v>9</v>
      </c>
      <c r="C7" s="78" t="s">
        <v>10</v>
      </c>
      <c r="D7" s="79">
        <v>18529353</v>
      </c>
      <c r="E7" s="242" t="s">
        <v>11</v>
      </c>
      <c r="F7" s="80" t="s">
        <v>12</v>
      </c>
      <c r="G7" s="81">
        <v>1421617</v>
      </c>
    </row>
    <row r="8" spans="1:9">
      <c r="B8" s="26" t="s">
        <v>13</v>
      </c>
      <c r="C8" s="78" t="s">
        <v>14</v>
      </c>
      <c r="D8" s="79">
        <v>21903909</v>
      </c>
      <c r="E8" s="242" t="s">
        <v>15</v>
      </c>
      <c r="F8" s="78" t="s">
        <v>16</v>
      </c>
      <c r="G8" s="79">
        <v>0</v>
      </c>
    </row>
    <row r="9" spans="1:9">
      <c r="B9" s="26" t="s">
        <v>17</v>
      </c>
      <c r="C9" s="78" t="s">
        <v>18</v>
      </c>
      <c r="D9" s="79">
        <v>662848891</v>
      </c>
      <c r="E9" s="242" t="s">
        <v>19</v>
      </c>
      <c r="F9" s="78" t="s">
        <v>20</v>
      </c>
      <c r="G9" s="82">
        <v>98221045</v>
      </c>
    </row>
    <row r="10" spans="1:9">
      <c r="B10" s="26" t="s">
        <v>21</v>
      </c>
      <c r="C10" s="78" t="s">
        <v>22</v>
      </c>
      <c r="D10" s="79">
        <v>66458032</v>
      </c>
      <c r="E10" s="242" t="s">
        <v>23</v>
      </c>
      <c r="F10" s="78" t="s">
        <v>24</v>
      </c>
      <c r="G10" s="79">
        <v>10548322</v>
      </c>
    </row>
    <row r="11" spans="1:9">
      <c r="B11" s="26" t="s">
        <v>25</v>
      </c>
      <c r="C11" s="78" t="s">
        <v>26</v>
      </c>
      <c r="D11" s="79">
        <v>15670344</v>
      </c>
      <c r="E11" s="242" t="s">
        <v>27</v>
      </c>
      <c r="F11" s="78" t="s">
        <v>28</v>
      </c>
      <c r="G11" s="79">
        <v>219815120</v>
      </c>
    </row>
    <row r="12" spans="1:9">
      <c r="B12" s="26" t="s">
        <v>29</v>
      </c>
      <c r="C12" s="78" t="s">
        <v>30</v>
      </c>
      <c r="D12" s="79">
        <v>14638078</v>
      </c>
      <c r="E12" s="242" t="s">
        <v>31</v>
      </c>
      <c r="F12" s="78" t="s">
        <v>32</v>
      </c>
      <c r="G12" s="79">
        <v>42951228</v>
      </c>
    </row>
    <row r="13" spans="1:9">
      <c r="B13" s="26" t="s">
        <v>33</v>
      </c>
      <c r="C13" s="78" t="s">
        <v>34</v>
      </c>
      <c r="D13" s="79">
        <v>0</v>
      </c>
      <c r="E13" s="242" t="s">
        <v>35</v>
      </c>
      <c r="F13" s="78" t="s">
        <v>36</v>
      </c>
      <c r="G13" s="79">
        <v>23180858</v>
      </c>
    </row>
    <row r="14" spans="1:9">
      <c r="A14" s="35"/>
      <c r="B14" s="26" t="s">
        <v>37</v>
      </c>
      <c r="C14" s="78" t="s">
        <v>38</v>
      </c>
      <c r="D14" s="79">
        <v>0</v>
      </c>
      <c r="E14" s="242" t="s">
        <v>39</v>
      </c>
      <c r="F14" s="78" t="s">
        <v>40</v>
      </c>
      <c r="G14" s="79">
        <v>106747126</v>
      </c>
    </row>
    <row r="15" spans="1:9">
      <c r="B15" s="26" t="s">
        <v>41</v>
      </c>
      <c r="C15" s="83" t="s">
        <v>42</v>
      </c>
      <c r="D15" s="79">
        <v>0</v>
      </c>
      <c r="E15" s="242" t="s">
        <v>43</v>
      </c>
      <c r="F15" s="78" t="s">
        <v>44</v>
      </c>
      <c r="G15" s="79">
        <v>7580677</v>
      </c>
    </row>
    <row r="16" spans="1:9">
      <c r="B16" s="26" t="s">
        <v>45</v>
      </c>
      <c r="C16" s="78" t="s">
        <v>46</v>
      </c>
      <c r="D16" s="79">
        <v>3396</v>
      </c>
      <c r="E16" s="242" t="s">
        <v>47</v>
      </c>
      <c r="F16" s="78" t="s">
        <v>48</v>
      </c>
      <c r="G16" s="79">
        <v>40823851</v>
      </c>
    </row>
    <row r="17" spans="1:7">
      <c r="B17" s="26" t="s">
        <v>49</v>
      </c>
      <c r="C17" s="78" t="s">
        <v>50</v>
      </c>
      <c r="D17" s="79">
        <v>0</v>
      </c>
      <c r="E17" s="242" t="s">
        <v>51</v>
      </c>
      <c r="F17" s="78" t="s">
        <v>52</v>
      </c>
      <c r="G17" s="79">
        <v>14563902</v>
      </c>
    </row>
    <row r="18" spans="1:7">
      <c r="A18" s="35"/>
      <c r="B18" s="26" t="s">
        <v>53</v>
      </c>
      <c r="C18" s="78" t="s">
        <v>54</v>
      </c>
      <c r="D18" s="79">
        <v>0</v>
      </c>
      <c r="E18" s="242" t="s">
        <v>55</v>
      </c>
      <c r="F18" s="78" t="s">
        <v>56</v>
      </c>
      <c r="G18" s="84">
        <v>19891660</v>
      </c>
    </row>
    <row r="19" spans="1:7" ht="16.5" thickBot="1">
      <c r="A19" s="35"/>
      <c r="B19" s="26" t="s">
        <v>57</v>
      </c>
      <c r="C19" s="78" t="s">
        <v>58</v>
      </c>
      <c r="D19" s="79">
        <v>27946176</v>
      </c>
      <c r="E19" s="242"/>
      <c r="F19" s="85" t="s">
        <v>59</v>
      </c>
      <c r="G19" s="86">
        <f>SUM(G7:G18)</f>
        <v>585745406</v>
      </c>
    </row>
    <row r="20" spans="1:7" ht="16.5" thickBot="1">
      <c r="B20" s="26"/>
      <c r="C20" s="85" t="s">
        <v>60</v>
      </c>
      <c r="D20" s="86">
        <f>SUM(D7:D19)</f>
        <v>827998179</v>
      </c>
      <c r="E20" s="242" t="s">
        <v>61</v>
      </c>
      <c r="F20" s="80" t="s">
        <v>62</v>
      </c>
      <c r="G20" s="81">
        <v>56762</v>
      </c>
    </row>
    <row r="21" spans="1:7">
      <c r="B21" s="26"/>
      <c r="C21" s="87" t="s">
        <v>63</v>
      </c>
      <c r="D21" s="88">
        <f>SUM(D22:D28)</f>
        <v>16943235</v>
      </c>
      <c r="E21" s="242" t="s">
        <v>64</v>
      </c>
      <c r="F21" s="78" t="s">
        <v>65</v>
      </c>
      <c r="G21" s="79">
        <v>22659739</v>
      </c>
    </row>
    <row r="22" spans="1:7">
      <c r="B22" s="26" t="s">
        <v>66</v>
      </c>
      <c r="C22" s="78" t="s">
        <v>67</v>
      </c>
      <c r="D22" s="79">
        <v>10505267</v>
      </c>
      <c r="E22" s="242" t="s">
        <v>68</v>
      </c>
      <c r="F22" s="78" t="s">
        <v>69</v>
      </c>
      <c r="G22" s="79">
        <v>2752455</v>
      </c>
    </row>
    <row r="23" spans="1:7">
      <c r="B23" s="26" t="s">
        <v>70</v>
      </c>
      <c r="C23" s="78" t="s">
        <v>71</v>
      </c>
      <c r="D23" s="79">
        <v>214223</v>
      </c>
      <c r="E23" s="242" t="s">
        <v>72</v>
      </c>
      <c r="F23" s="78" t="s">
        <v>73</v>
      </c>
      <c r="G23" s="79">
        <v>6345665</v>
      </c>
    </row>
    <row r="24" spans="1:7">
      <c r="B24" s="26" t="s">
        <v>74</v>
      </c>
      <c r="C24" s="78" t="s">
        <v>75</v>
      </c>
      <c r="D24" s="79">
        <v>3323677</v>
      </c>
      <c r="E24" s="242" t="s">
        <v>76</v>
      </c>
      <c r="F24" s="78" t="s">
        <v>77</v>
      </c>
      <c r="G24" s="79">
        <v>0</v>
      </c>
    </row>
    <row r="25" spans="1:7">
      <c r="B25" s="26" t="s">
        <v>78</v>
      </c>
      <c r="C25" s="78" t="s">
        <v>79</v>
      </c>
      <c r="D25" s="79">
        <v>1553361</v>
      </c>
      <c r="E25" s="242" t="s">
        <v>80</v>
      </c>
      <c r="F25" s="78" t="s">
        <v>81</v>
      </c>
      <c r="G25" s="79">
        <v>0</v>
      </c>
    </row>
    <row r="26" spans="1:7">
      <c r="B26" s="26" t="s">
        <v>82</v>
      </c>
      <c r="C26" s="78" t="s">
        <v>83</v>
      </c>
      <c r="D26" s="79">
        <v>652110</v>
      </c>
      <c r="E26" s="242" t="s">
        <v>84</v>
      </c>
      <c r="F26" s="78" t="s">
        <v>85</v>
      </c>
      <c r="G26" s="84">
        <v>1124367</v>
      </c>
    </row>
    <row r="27" spans="1:7" ht="13.5" customHeight="1" thickBot="1">
      <c r="B27" s="26" t="s">
        <v>86</v>
      </c>
      <c r="C27" s="78" t="s">
        <v>87</v>
      </c>
      <c r="D27" s="79">
        <v>176973</v>
      </c>
      <c r="E27" s="242"/>
      <c r="F27" s="85" t="s">
        <v>88</v>
      </c>
      <c r="G27" s="86">
        <f>SUM(G20:G26)</f>
        <v>32938988</v>
      </c>
    </row>
    <row r="28" spans="1:7">
      <c r="B28" s="26" t="s">
        <v>89</v>
      </c>
      <c r="C28" s="78" t="s">
        <v>90</v>
      </c>
      <c r="D28" s="79">
        <v>517624</v>
      </c>
      <c r="E28" s="242" t="s">
        <v>91</v>
      </c>
      <c r="F28" s="80" t="s">
        <v>92</v>
      </c>
      <c r="G28" s="81">
        <v>37503797</v>
      </c>
    </row>
    <row r="29" spans="1:7">
      <c r="B29" s="26"/>
      <c r="C29" s="89" t="s">
        <v>93</v>
      </c>
      <c r="D29" s="88">
        <f>SUM(D30:D34)</f>
        <v>68566729</v>
      </c>
      <c r="E29" s="242" t="s">
        <v>94</v>
      </c>
      <c r="F29" s="78" t="s">
        <v>95</v>
      </c>
      <c r="G29" s="79">
        <v>0</v>
      </c>
    </row>
    <row r="30" spans="1:7">
      <c r="B30" s="26" t="s">
        <v>96</v>
      </c>
      <c r="C30" s="78" t="s">
        <v>97</v>
      </c>
      <c r="D30" s="79">
        <v>60159589</v>
      </c>
      <c r="E30" s="242" t="s">
        <v>98</v>
      </c>
      <c r="F30" s="78" t="s">
        <v>99</v>
      </c>
      <c r="G30" s="79">
        <v>2189451</v>
      </c>
    </row>
    <row r="31" spans="1:7">
      <c r="B31" s="26" t="s">
        <v>100</v>
      </c>
      <c r="C31" s="78" t="s">
        <v>101</v>
      </c>
      <c r="D31" s="79">
        <v>3550708</v>
      </c>
      <c r="E31" s="242" t="s">
        <v>102</v>
      </c>
      <c r="F31" s="78" t="s">
        <v>103</v>
      </c>
      <c r="G31" s="84">
        <v>1342034</v>
      </c>
    </row>
    <row r="32" spans="1:7" ht="16.5" thickBot="1">
      <c r="B32" s="26" t="s">
        <v>104</v>
      </c>
      <c r="C32" s="78" t="s">
        <v>105</v>
      </c>
      <c r="D32" s="79">
        <v>2420634</v>
      </c>
      <c r="E32" s="242"/>
      <c r="F32" s="85" t="s">
        <v>106</v>
      </c>
      <c r="G32" s="86">
        <f>SUM(G28:G31)</f>
        <v>41035282</v>
      </c>
    </row>
    <row r="33" spans="2:7">
      <c r="B33" s="26" t="s">
        <v>107</v>
      </c>
      <c r="C33" s="78" t="s">
        <v>108</v>
      </c>
      <c r="D33" s="79">
        <v>193866</v>
      </c>
      <c r="E33" s="242"/>
      <c r="F33" s="89" t="s">
        <v>109</v>
      </c>
      <c r="G33" s="88">
        <f>SUM(G34:G39)</f>
        <v>50439570</v>
      </c>
    </row>
    <row r="34" spans="2:7">
      <c r="B34" s="26" t="s">
        <v>110</v>
      </c>
      <c r="C34" s="78" t="s">
        <v>111</v>
      </c>
      <c r="D34" s="79">
        <v>2241932</v>
      </c>
      <c r="E34" s="242" t="s">
        <v>112</v>
      </c>
      <c r="F34" s="78" t="s">
        <v>113</v>
      </c>
      <c r="G34" s="79">
        <v>5939247</v>
      </c>
    </row>
    <row r="35" spans="2:7" ht="16.5" thickBot="1">
      <c r="B35" s="26"/>
      <c r="C35" s="85" t="s">
        <v>114</v>
      </c>
      <c r="D35" s="86">
        <f>+D21+D29</f>
        <v>85509964</v>
      </c>
      <c r="E35" s="242" t="s">
        <v>115</v>
      </c>
      <c r="F35" s="78" t="s">
        <v>116</v>
      </c>
      <c r="G35" s="79">
        <v>617389</v>
      </c>
    </row>
    <row r="36" spans="2:7">
      <c r="B36" s="26" t="s">
        <v>117</v>
      </c>
      <c r="C36" s="78" t="s">
        <v>118</v>
      </c>
      <c r="D36" s="79">
        <v>3004065</v>
      </c>
      <c r="E36" s="242" t="s">
        <v>119</v>
      </c>
      <c r="F36" s="78" t="s">
        <v>517</v>
      </c>
      <c r="G36" s="79">
        <v>1540271</v>
      </c>
    </row>
    <row r="37" spans="2:7">
      <c r="B37" s="26" t="s">
        <v>120</v>
      </c>
      <c r="C37" s="78" t="s">
        <v>121</v>
      </c>
      <c r="D37" s="79">
        <v>27928063</v>
      </c>
      <c r="E37" s="242" t="s">
        <v>122</v>
      </c>
      <c r="F37" s="78" t="s">
        <v>123</v>
      </c>
      <c r="G37" s="79">
        <v>4275419</v>
      </c>
    </row>
    <row r="38" spans="2:7">
      <c r="B38" s="26" t="s">
        <v>124</v>
      </c>
      <c r="C38" s="78" t="s">
        <v>125</v>
      </c>
      <c r="D38" s="79">
        <v>0</v>
      </c>
      <c r="E38" s="242" t="s">
        <v>126</v>
      </c>
      <c r="F38" s="78" t="s">
        <v>127</v>
      </c>
      <c r="G38" s="79">
        <v>5456765</v>
      </c>
    </row>
    <row r="39" spans="2:7">
      <c r="B39" s="26" t="s">
        <v>128</v>
      </c>
      <c r="C39" s="78" t="s">
        <v>129</v>
      </c>
      <c r="D39" s="79">
        <v>0</v>
      </c>
      <c r="E39" s="242" t="s">
        <v>130</v>
      </c>
      <c r="F39" s="78" t="s">
        <v>131</v>
      </c>
      <c r="G39" s="79">
        <v>32610479</v>
      </c>
    </row>
    <row r="40" spans="2:7">
      <c r="B40" s="26" t="s">
        <v>132</v>
      </c>
      <c r="C40" s="78" t="s">
        <v>133</v>
      </c>
      <c r="D40" s="79">
        <v>10292617</v>
      </c>
      <c r="E40" s="242"/>
      <c r="F40" s="145" t="s">
        <v>134</v>
      </c>
      <c r="G40" s="146">
        <f>SUM(G41:G46)</f>
        <v>21049318</v>
      </c>
    </row>
    <row r="41" spans="2:7">
      <c r="B41" s="26" t="s">
        <v>135</v>
      </c>
      <c r="C41" s="78" t="s">
        <v>136</v>
      </c>
      <c r="D41" s="79">
        <v>29752508</v>
      </c>
      <c r="E41" s="242" t="s">
        <v>137</v>
      </c>
      <c r="F41" s="78" t="s">
        <v>138</v>
      </c>
      <c r="G41" s="79">
        <v>3339586</v>
      </c>
    </row>
    <row r="42" spans="2:7">
      <c r="B42" s="26" t="s">
        <v>139</v>
      </c>
      <c r="C42" s="78" t="s">
        <v>140</v>
      </c>
      <c r="D42" s="79">
        <v>22110205</v>
      </c>
      <c r="E42" s="242" t="s">
        <v>141</v>
      </c>
      <c r="F42" s="78" t="s">
        <v>142</v>
      </c>
      <c r="G42" s="79">
        <v>53837</v>
      </c>
    </row>
    <row r="43" spans="2:7">
      <c r="B43" s="26" t="s">
        <v>143</v>
      </c>
      <c r="C43" s="78" t="s">
        <v>144</v>
      </c>
      <c r="D43" s="79">
        <v>0</v>
      </c>
      <c r="E43" s="242" t="s">
        <v>145</v>
      </c>
      <c r="F43" s="78" t="s">
        <v>146</v>
      </c>
      <c r="G43" s="79">
        <v>1847012</v>
      </c>
    </row>
    <row r="44" spans="2:7">
      <c r="B44" s="26" t="s">
        <v>147</v>
      </c>
      <c r="C44" s="78" t="s">
        <v>148</v>
      </c>
      <c r="D44" s="79">
        <v>0</v>
      </c>
      <c r="E44" s="242" t="s">
        <v>149</v>
      </c>
      <c r="F44" s="78" t="s">
        <v>150</v>
      </c>
      <c r="G44" s="79">
        <v>480511</v>
      </c>
    </row>
    <row r="45" spans="2:7">
      <c r="B45" s="26" t="s">
        <v>151</v>
      </c>
      <c r="C45" s="78" t="s">
        <v>152</v>
      </c>
      <c r="D45" s="79">
        <v>6941146</v>
      </c>
      <c r="E45" s="242" t="s">
        <v>153</v>
      </c>
      <c r="F45" s="78" t="s">
        <v>154</v>
      </c>
      <c r="G45" s="79">
        <v>771009</v>
      </c>
    </row>
    <row r="46" spans="2:7">
      <c r="B46" s="26" t="s">
        <v>155</v>
      </c>
      <c r="C46" s="78" t="s">
        <v>156</v>
      </c>
      <c r="D46" s="79">
        <v>3173314</v>
      </c>
      <c r="E46" s="242" t="s">
        <v>157</v>
      </c>
      <c r="F46" s="78" t="s">
        <v>158</v>
      </c>
      <c r="G46" s="79">
        <v>14557363</v>
      </c>
    </row>
    <row r="47" spans="2:7" ht="16.5" thickBot="1">
      <c r="B47" s="26"/>
      <c r="C47" s="85" t="s">
        <v>159</v>
      </c>
      <c r="D47" s="86">
        <f>SUM(D36:D46)</f>
        <v>103201918</v>
      </c>
      <c r="E47" s="242" t="s">
        <v>160</v>
      </c>
      <c r="F47" s="78" t="s">
        <v>161</v>
      </c>
      <c r="G47" s="84">
        <v>2431880</v>
      </c>
    </row>
    <row r="48" spans="2:7" ht="16.5" thickBot="1">
      <c r="B48" s="26"/>
      <c r="C48" s="85" t="s">
        <v>162</v>
      </c>
      <c r="D48" s="86"/>
      <c r="E48" s="242"/>
      <c r="F48" s="85" t="s">
        <v>163</v>
      </c>
      <c r="G48" s="94">
        <f>+G33+G40+G47</f>
        <v>73920768</v>
      </c>
    </row>
    <row r="49" spans="2:7">
      <c r="B49" s="26" t="s">
        <v>164</v>
      </c>
      <c r="C49" s="95" t="s">
        <v>165</v>
      </c>
      <c r="D49" s="96">
        <v>0</v>
      </c>
      <c r="E49" s="242" t="s">
        <v>166</v>
      </c>
      <c r="F49" s="80" t="s">
        <v>167</v>
      </c>
      <c r="G49" s="81">
        <v>0</v>
      </c>
    </row>
    <row r="50" spans="2:7">
      <c r="B50" s="26" t="s">
        <v>168</v>
      </c>
      <c r="C50" s="78" t="s">
        <v>162</v>
      </c>
      <c r="D50" s="79">
        <v>9040364</v>
      </c>
      <c r="E50" s="242" t="s">
        <v>169</v>
      </c>
      <c r="F50" s="78" t="s">
        <v>170</v>
      </c>
      <c r="G50" s="79">
        <v>33229229</v>
      </c>
    </row>
    <row r="51" spans="2:7">
      <c r="B51" s="26" t="s">
        <v>171</v>
      </c>
      <c r="C51" s="78" t="s">
        <v>172</v>
      </c>
      <c r="D51" s="84">
        <v>20008</v>
      </c>
      <c r="E51" s="242" t="s">
        <v>173</v>
      </c>
      <c r="F51" s="78" t="s">
        <v>174</v>
      </c>
      <c r="G51" s="79">
        <v>1043315</v>
      </c>
    </row>
    <row r="52" spans="2:7" ht="16.5" thickBot="1">
      <c r="B52" s="32"/>
      <c r="C52" s="143" t="s">
        <v>175</v>
      </c>
      <c r="D52" s="144">
        <f>SUM(D49:D51)</f>
        <v>9060372</v>
      </c>
      <c r="E52" s="242" t="s">
        <v>176</v>
      </c>
      <c r="F52" s="78" t="s">
        <v>177</v>
      </c>
      <c r="G52" s="79">
        <v>706146</v>
      </c>
    </row>
    <row r="53" spans="2:7" ht="16.5" thickBot="1">
      <c r="B53" s="26"/>
      <c r="C53" s="75" t="s">
        <v>178</v>
      </c>
      <c r="D53" s="97">
        <f>D20+D35+D47+D52</f>
        <v>1025770433</v>
      </c>
      <c r="E53" s="242" t="s">
        <v>179</v>
      </c>
      <c r="F53" s="78" t="s">
        <v>180</v>
      </c>
      <c r="G53" s="79">
        <v>4444244</v>
      </c>
    </row>
    <row r="54" spans="2:7">
      <c r="C54" s="98"/>
      <c r="D54" s="99"/>
      <c r="E54" s="242" t="s">
        <v>181</v>
      </c>
      <c r="F54" s="78" t="s">
        <v>182</v>
      </c>
      <c r="G54" s="79">
        <v>1068514</v>
      </c>
    </row>
    <row r="55" spans="2:7" ht="16.5" thickBot="1">
      <c r="C55" s="85" t="s">
        <v>183</v>
      </c>
      <c r="D55" s="86"/>
      <c r="E55" s="242" t="s">
        <v>184</v>
      </c>
      <c r="F55" s="78" t="s">
        <v>185</v>
      </c>
      <c r="G55" s="79">
        <v>451307</v>
      </c>
    </row>
    <row r="56" spans="2:7">
      <c r="B56" s="26" t="s">
        <v>186</v>
      </c>
      <c r="C56" s="102" t="s">
        <v>187</v>
      </c>
      <c r="D56" s="79">
        <v>0</v>
      </c>
      <c r="E56" s="242" t="s">
        <v>188</v>
      </c>
      <c r="F56" s="78" t="s">
        <v>189</v>
      </c>
      <c r="G56" s="84">
        <v>1383088</v>
      </c>
    </row>
    <row r="57" spans="2:7" ht="14.25" customHeight="1" thickBot="1">
      <c r="B57" s="26" t="s">
        <v>190</v>
      </c>
      <c r="C57" s="102" t="s">
        <v>191</v>
      </c>
      <c r="D57" s="79">
        <v>0</v>
      </c>
      <c r="E57" s="242"/>
      <c r="F57" s="85" t="s">
        <v>192</v>
      </c>
      <c r="G57" s="86">
        <f>SUM(G49:G56)</f>
        <v>42325843</v>
      </c>
    </row>
    <row r="58" spans="2:7">
      <c r="B58" s="26" t="s">
        <v>193</v>
      </c>
      <c r="C58" s="102" t="s">
        <v>194</v>
      </c>
      <c r="D58" s="79">
        <v>0</v>
      </c>
      <c r="E58" s="242" t="s">
        <v>195</v>
      </c>
      <c r="F58" s="80" t="s">
        <v>196</v>
      </c>
      <c r="G58" s="81">
        <v>0</v>
      </c>
    </row>
    <row r="59" spans="2:7">
      <c r="B59" s="26" t="s">
        <v>197</v>
      </c>
      <c r="C59" s="78" t="s">
        <v>198</v>
      </c>
      <c r="D59" s="84">
        <v>0</v>
      </c>
      <c r="E59" s="242" t="s">
        <v>199</v>
      </c>
      <c r="F59" s="78" t="s">
        <v>200</v>
      </c>
      <c r="G59" s="79">
        <v>17918797</v>
      </c>
    </row>
    <row r="60" spans="2:7" ht="16.5" thickBot="1">
      <c r="B60" s="26"/>
      <c r="C60" s="85" t="s">
        <v>201</v>
      </c>
      <c r="D60" s="86">
        <f>SUM(D56:D59)</f>
        <v>0</v>
      </c>
      <c r="E60" s="242" t="s">
        <v>202</v>
      </c>
      <c r="F60" s="78" t="s">
        <v>203</v>
      </c>
      <c r="G60" s="79">
        <v>0</v>
      </c>
    </row>
    <row r="61" spans="2:7" ht="16.5" thickBot="1">
      <c r="B61" s="36"/>
      <c r="C61" s="72" t="s">
        <v>204</v>
      </c>
      <c r="D61" s="103">
        <f>D53+D60</f>
        <v>1025770433</v>
      </c>
      <c r="E61" s="242" t="s">
        <v>205</v>
      </c>
      <c r="F61" s="78" t="s">
        <v>206</v>
      </c>
      <c r="G61" s="79">
        <v>1704770</v>
      </c>
    </row>
    <row r="62" spans="2:7">
      <c r="B62" s="37"/>
      <c r="C62" s="116"/>
      <c r="D62" s="116"/>
      <c r="E62" s="242" t="s">
        <v>207</v>
      </c>
      <c r="F62" s="78" t="s">
        <v>208</v>
      </c>
      <c r="G62" s="79">
        <v>165245</v>
      </c>
    </row>
    <row r="63" spans="2:7">
      <c r="B63" s="38"/>
      <c r="C63" s="243" t="s">
        <v>8</v>
      </c>
      <c r="D63" s="243"/>
      <c r="E63" s="242" t="s">
        <v>209</v>
      </c>
      <c r="F63" s="78" t="s">
        <v>210</v>
      </c>
      <c r="G63" s="79">
        <v>21697567</v>
      </c>
    </row>
    <row r="64" spans="2:7">
      <c r="B64" s="39" t="s">
        <v>211</v>
      </c>
      <c r="C64" s="244" t="s">
        <v>212</v>
      </c>
      <c r="D64" s="244">
        <f>[19]Amortizaciones!D6</f>
        <v>15783420</v>
      </c>
      <c r="E64" s="242" t="s">
        <v>213</v>
      </c>
      <c r="F64" s="78" t="s">
        <v>214</v>
      </c>
      <c r="G64" s="79">
        <v>0</v>
      </c>
    </row>
    <row r="65" spans="2:7">
      <c r="B65" s="39" t="s">
        <v>215</v>
      </c>
      <c r="C65" s="244" t="s">
        <v>216</v>
      </c>
      <c r="D65" s="244">
        <f>[19]Amortizaciones!D7</f>
        <v>0</v>
      </c>
      <c r="E65" s="242" t="s">
        <v>217</v>
      </c>
      <c r="F65" s="78" t="s">
        <v>218</v>
      </c>
      <c r="G65" s="79">
        <v>23298</v>
      </c>
    </row>
    <row r="66" spans="2:7">
      <c r="B66" s="39" t="s">
        <v>219</v>
      </c>
      <c r="C66" s="244" t="s">
        <v>220</v>
      </c>
      <c r="D66" s="244">
        <f>[19]Amortizaciones!D8</f>
        <v>13280036</v>
      </c>
      <c r="E66" s="242" t="s">
        <v>221</v>
      </c>
      <c r="F66" s="78" t="s">
        <v>222</v>
      </c>
      <c r="G66" s="79">
        <v>1395665</v>
      </c>
    </row>
    <row r="67" spans="2:7">
      <c r="B67" s="39" t="s">
        <v>223</v>
      </c>
      <c r="C67" s="244" t="s">
        <v>224</v>
      </c>
      <c r="D67" s="244">
        <f>[19]Amortizaciones!D9</f>
        <v>141389</v>
      </c>
      <c r="E67" s="242" t="s">
        <v>225</v>
      </c>
      <c r="F67" s="78" t="s">
        <v>226</v>
      </c>
      <c r="G67" s="79">
        <v>55186</v>
      </c>
    </row>
    <row r="68" spans="2:7">
      <c r="B68" s="39" t="s">
        <v>227</v>
      </c>
      <c r="C68" s="244" t="s">
        <v>228</v>
      </c>
      <c r="D68" s="244">
        <f>[19]Amortizaciones!D10</f>
        <v>290374</v>
      </c>
      <c r="E68" s="242" t="s">
        <v>229</v>
      </c>
      <c r="F68" s="78" t="s">
        <v>230</v>
      </c>
      <c r="G68" s="79">
        <v>0</v>
      </c>
    </row>
    <row r="69" spans="2:7">
      <c r="B69" s="39" t="s">
        <v>231</v>
      </c>
      <c r="C69" s="244" t="s">
        <v>232</v>
      </c>
      <c r="D69" s="244">
        <f>[19]Amortizaciones!D11</f>
        <v>17541</v>
      </c>
      <c r="E69" s="242" t="s">
        <v>233</v>
      </c>
      <c r="F69" s="78" t="s">
        <v>234</v>
      </c>
      <c r="G69" s="79">
        <v>444563</v>
      </c>
    </row>
    <row r="70" spans="2:7">
      <c r="B70" s="39" t="s">
        <v>235</v>
      </c>
      <c r="C70" s="244" t="s">
        <v>236</v>
      </c>
      <c r="D70" s="244">
        <f>[19]Amortizaciones!D12</f>
        <v>1868025</v>
      </c>
      <c r="E70" s="242" t="s">
        <v>237</v>
      </c>
      <c r="F70" s="78" t="s">
        <v>238</v>
      </c>
      <c r="G70" s="79">
        <v>3125</v>
      </c>
    </row>
    <row r="71" spans="2:7">
      <c r="B71" s="39" t="s">
        <v>239</v>
      </c>
      <c r="C71" s="244" t="s">
        <v>240</v>
      </c>
      <c r="D71" s="244">
        <f>[19]Amortizaciones!D13</f>
        <v>0</v>
      </c>
      <c r="E71" s="242" t="s">
        <v>241</v>
      </c>
      <c r="F71" s="78" t="s">
        <v>242</v>
      </c>
      <c r="G71" s="79">
        <v>0</v>
      </c>
    </row>
    <row r="72" spans="2:7">
      <c r="B72" s="39" t="s">
        <v>243</v>
      </c>
      <c r="C72" s="244" t="s">
        <v>244</v>
      </c>
      <c r="D72" s="244">
        <f>[19]Amortizaciones!D14</f>
        <v>1412766</v>
      </c>
      <c r="E72" s="242" t="s">
        <v>245</v>
      </c>
      <c r="F72" s="78" t="s">
        <v>246</v>
      </c>
      <c r="G72" s="79">
        <v>0</v>
      </c>
    </row>
    <row r="73" spans="2:7">
      <c r="B73" s="39" t="s">
        <v>247</v>
      </c>
      <c r="C73" s="244" t="s">
        <v>248</v>
      </c>
      <c r="D73" s="244">
        <f>[19]Amortizaciones!D15</f>
        <v>0</v>
      </c>
      <c r="E73" s="242" t="s">
        <v>249</v>
      </c>
      <c r="F73" s="78" t="s">
        <v>250</v>
      </c>
      <c r="G73" s="79">
        <v>0</v>
      </c>
    </row>
    <row r="74" spans="2:7">
      <c r="B74" s="39" t="s">
        <v>251</v>
      </c>
      <c r="C74" s="244" t="s">
        <v>252</v>
      </c>
      <c r="D74" s="244">
        <f>[19]Amortizaciones!D16</f>
        <v>2186498</v>
      </c>
      <c r="E74" s="242" t="s">
        <v>253</v>
      </c>
      <c r="F74" s="78" t="s">
        <v>254</v>
      </c>
      <c r="G74" s="79">
        <v>0</v>
      </c>
    </row>
    <row r="75" spans="2:7">
      <c r="B75" s="39" t="s">
        <v>255</v>
      </c>
      <c r="C75" s="244" t="s">
        <v>256</v>
      </c>
      <c r="D75" s="244">
        <f>[19]Amortizaciones!D17</f>
        <v>0</v>
      </c>
      <c r="E75" s="242" t="s">
        <v>257</v>
      </c>
      <c r="F75" s="78" t="s">
        <v>258</v>
      </c>
      <c r="G75" s="79">
        <v>2096766</v>
      </c>
    </row>
    <row r="76" spans="2:7">
      <c r="B76" s="39" t="s">
        <v>259</v>
      </c>
      <c r="C76" s="244" t="s">
        <v>260</v>
      </c>
      <c r="D76" s="244">
        <f>[19]Amortizaciones!D18</f>
        <v>0</v>
      </c>
      <c r="E76" s="242" t="s">
        <v>261</v>
      </c>
      <c r="F76" s="78" t="s">
        <v>262</v>
      </c>
      <c r="G76" s="79">
        <v>16079201</v>
      </c>
    </row>
    <row r="77" spans="2:7">
      <c r="B77" s="39" t="s">
        <v>263</v>
      </c>
      <c r="C77" s="244" t="s">
        <v>264</v>
      </c>
      <c r="D77" s="244">
        <f>SUM(D64:D76)</f>
        <v>34980049</v>
      </c>
      <c r="E77" s="242" t="s">
        <v>265</v>
      </c>
      <c r="F77" s="78" t="s">
        <v>266</v>
      </c>
      <c r="G77" s="79">
        <v>4869716</v>
      </c>
    </row>
    <row r="78" spans="2:7">
      <c r="B78" s="39"/>
      <c r="C78" s="244"/>
      <c r="D78" s="244"/>
      <c r="E78" s="242" t="s">
        <v>267</v>
      </c>
      <c r="F78" s="78" t="s">
        <v>268</v>
      </c>
      <c r="G78" s="84">
        <v>2235962</v>
      </c>
    </row>
    <row r="79" spans="2:7" ht="16.5" thickBot="1">
      <c r="B79" s="39"/>
      <c r="C79" s="243" t="s">
        <v>269</v>
      </c>
      <c r="D79" s="245"/>
      <c r="E79" s="242"/>
      <c r="F79" s="85" t="s">
        <v>270</v>
      </c>
      <c r="G79" s="86">
        <f>SUM(G58:G78)</f>
        <v>68689861</v>
      </c>
    </row>
    <row r="80" spans="2:7">
      <c r="B80" s="39" t="s">
        <v>271</v>
      </c>
      <c r="C80" s="244" t="s">
        <v>236</v>
      </c>
      <c r="D80" s="244">
        <f>[19]Amortizaciones!D22</f>
        <v>0</v>
      </c>
      <c r="E80" s="242" t="s">
        <v>272</v>
      </c>
      <c r="F80" s="80" t="s">
        <v>273</v>
      </c>
      <c r="G80" s="81">
        <v>22240</v>
      </c>
    </row>
    <row r="81" spans="2:7">
      <c r="B81" s="39" t="s">
        <v>274</v>
      </c>
      <c r="C81" s="244" t="s">
        <v>240</v>
      </c>
      <c r="D81" s="244">
        <f>[19]Amortizaciones!D23</f>
        <v>0</v>
      </c>
      <c r="E81" s="242" t="s">
        <v>275</v>
      </c>
      <c r="F81" s="78" t="s">
        <v>276</v>
      </c>
      <c r="G81" s="79">
        <v>5584705</v>
      </c>
    </row>
    <row r="82" spans="2:7">
      <c r="B82" s="39" t="s">
        <v>277</v>
      </c>
      <c r="C82" s="244" t="s">
        <v>244</v>
      </c>
      <c r="D82" s="244">
        <f>[19]Amortizaciones!D24</f>
        <v>0</v>
      </c>
      <c r="E82" s="242" t="s">
        <v>278</v>
      </c>
      <c r="F82" s="78" t="s">
        <v>279</v>
      </c>
      <c r="G82" s="79">
        <v>1512056</v>
      </c>
    </row>
    <row r="83" spans="2:7">
      <c r="B83" s="39" t="s">
        <v>280</v>
      </c>
      <c r="C83" s="244" t="s">
        <v>248</v>
      </c>
      <c r="D83" s="244">
        <f>[19]Amortizaciones!D25</f>
        <v>0</v>
      </c>
      <c r="E83" s="242" t="s">
        <v>281</v>
      </c>
      <c r="F83" s="78" t="s">
        <v>282</v>
      </c>
      <c r="G83" s="79">
        <v>5914477</v>
      </c>
    </row>
    <row r="84" spans="2:7">
      <c r="B84" s="39" t="s">
        <v>283</v>
      </c>
      <c r="C84" s="244" t="s">
        <v>284</v>
      </c>
      <c r="D84" s="244">
        <v>0</v>
      </c>
      <c r="E84" s="242" t="s">
        <v>285</v>
      </c>
      <c r="F84" s="78" t="s">
        <v>286</v>
      </c>
      <c r="G84" s="79">
        <v>8771592</v>
      </c>
    </row>
    <row r="85" spans="2:7">
      <c r="B85" s="39" t="s">
        <v>287</v>
      </c>
      <c r="C85" s="244" t="s">
        <v>288</v>
      </c>
      <c r="D85" s="244">
        <f>[19]Amortizaciones!D27</f>
        <v>0</v>
      </c>
      <c r="E85" s="242" t="s">
        <v>289</v>
      </c>
      <c r="F85" s="78" t="s">
        <v>290</v>
      </c>
      <c r="G85" s="79">
        <v>4695878</v>
      </c>
    </row>
    <row r="86" spans="2:7" ht="13.5" customHeight="1">
      <c r="B86" s="39" t="s">
        <v>291</v>
      </c>
      <c r="C86" s="244" t="s">
        <v>292</v>
      </c>
      <c r="D86" s="244">
        <f>[19]Amortizaciones!D28</f>
        <v>0</v>
      </c>
      <c r="E86" s="242" t="s">
        <v>293</v>
      </c>
      <c r="F86" s="78" t="s">
        <v>294</v>
      </c>
      <c r="G86" s="79">
        <v>2951834</v>
      </c>
    </row>
    <row r="87" spans="2:7" ht="13.5" customHeight="1">
      <c r="B87" s="39" t="s">
        <v>295</v>
      </c>
      <c r="C87" s="244" t="s">
        <v>296</v>
      </c>
      <c r="D87" s="244">
        <f>[19]Amortizaciones!D29</f>
        <v>0</v>
      </c>
      <c r="E87" s="242" t="s">
        <v>297</v>
      </c>
      <c r="F87" s="78" t="s">
        <v>298</v>
      </c>
      <c r="G87" s="79">
        <v>0</v>
      </c>
    </row>
    <row r="88" spans="2:7" ht="13.5" customHeight="1">
      <c r="B88" s="39" t="s">
        <v>299</v>
      </c>
      <c r="C88" s="244" t="s">
        <v>300</v>
      </c>
      <c r="D88" s="244">
        <f>[19]Amortizaciones!D30</f>
        <v>0</v>
      </c>
      <c r="E88" s="242" t="s">
        <v>301</v>
      </c>
      <c r="F88" s="78" t="s">
        <v>302</v>
      </c>
      <c r="G88" s="79">
        <v>2689463</v>
      </c>
    </row>
    <row r="89" spans="2:7">
      <c r="B89" s="39" t="s">
        <v>303</v>
      </c>
      <c r="C89" s="244" t="s">
        <v>212</v>
      </c>
      <c r="D89" s="244">
        <f>[19]Amortizaciones!D31</f>
        <v>0</v>
      </c>
      <c r="E89" s="242" t="s">
        <v>304</v>
      </c>
      <c r="F89" s="78" t="s">
        <v>305</v>
      </c>
      <c r="G89" s="79">
        <v>0</v>
      </c>
    </row>
    <row r="90" spans="2:7" ht="14.25" customHeight="1">
      <c r="B90" s="39" t="s">
        <v>306</v>
      </c>
      <c r="C90" s="244" t="s">
        <v>228</v>
      </c>
      <c r="D90" s="244">
        <f>[19]Amortizaciones!D32</f>
        <v>0</v>
      </c>
      <c r="E90" s="242" t="s">
        <v>307</v>
      </c>
      <c r="F90" s="78" t="s">
        <v>308</v>
      </c>
      <c r="G90" s="79">
        <v>0</v>
      </c>
    </row>
    <row r="91" spans="2:7" ht="14.25" customHeight="1">
      <c r="B91" s="39" t="s">
        <v>309</v>
      </c>
      <c r="C91" s="244" t="s">
        <v>310</v>
      </c>
      <c r="D91" s="244">
        <f>SUM(D80:D90)</f>
        <v>0</v>
      </c>
      <c r="E91" s="246" t="s">
        <v>311</v>
      </c>
      <c r="F91" s="78" t="s">
        <v>312</v>
      </c>
      <c r="G91" s="79">
        <v>0</v>
      </c>
    </row>
    <row r="92" spans="2:7" ht="14.25" customHeight="1">
      <c r="B92" s="39"/>
      <c r="C92" s="247" t="s">
        <v>313</v>
      </c>
      <c r="D92" s="244">
        <f>D77+D91</f>
        <v>34980049</v>
      </c>
      <c r="E92" s="246" t="s">
        <v>314</v>
      </c>
      <c r="F92" s="78" t="s">
        <v>315</v>
      </c>
      <c r="G92" s="79">
        <v>0</v>
      </c>
    </row>
    <row r="93" spans="2:7">
      <c r="C93" s="116"/>
      <c r="D93" s="116"/>
      <c r="E93" s="246" t="s">
        <v>316</v>
      </c>
      <c r="F93" s="78" t="s">
        <v>317</v>
      </c>
      <c r="G93" s="79">
        <v>26101688</v>
      </c>
    </row>
    <row r="94" spans="2:7">
      <c r="C94" s="116"/>
      <c r="D94" s="116"/>
      <c r="E94" s="246" t="s">
        <v>318</v>
      </c>
      <c r="F94" s="78" t="s">
        <v>319</v>
      </c>
      <c r="G94" s="84">
        <v>1924586</v>
      </c>
    </row>
    <row r="95" spans="2:7" ht="13.5" customHeight="1" thickBot="1">
      <c r="C95" s="116"/>
      <c r="D95" s="116"/>
      <c r="E95" s="242"/>
      <c r="F95" s="85" t="s">
        <v>320</v>
      </c>
      <c r="G95" s="86">
        <f>SUM(G80:G94)</f>
        <v>60168519</v>
      </c>
    </row>
    <row r="96" spans="2:7">
      <c r="C96" s="116"/>
      <c r="D96" s="116"/>
      <c r="E96" s="246" t="s">
        <v>321</v>
      </c>
      <c r="F96" s="80" t="s">
        <v>322</v>
      </c>
      <c r="G96" s="81">
        <v>1166300</v>
      </c>
    </row>
    <row r="97" spans="2:7">
      <c r="C97" s="116"/>
      <c r="D97" s="116"/>
      <c r="E97" s="246" t="s">
        <v>323</v>
      </c>
      <c r="F97" s="78" t="s">
        <v>324</v>
      </c>
      <c r="G97" s="79">
        <v>1169452</v>
      </c>
    </row>
    <row r="98" spans="2:7">
      <c r="C98" s="116"/>
      <c r="D98" s="116"/>
      <c r="E98" s="246" t="s">
        <v>325</v>
      </c>
      <c r="F98" s="78" t="s">
        <v>326</v>
      </c>
      <c r="G98" s="79">
        <v>159754</v>
      </c>
    </row>
    <row r="99" spans="2:7">
      <c r="C99" s="116"/>
      <c r="D99" s="116"/>
      <c r="E99" s="246" t="s">
        <v>327</v>
      </c>
      <c r="F99" s="78" t="s">
        <v>328</v>
      </c>
      <c r="G99" s="79">
        <f>612671</f>
        <v>612671</v>
      </c>
    </row>
    <row r="100" spans="2:7">
      <c r="C100" s="116"/>
      <c r="D100" s="116"/>
      <c r="E100" s="246" t="s">
        <v>329</v>
      </c>
      <c r="F100" s="78" t="s">
        <v>330</v>
      </c>
      <c r="G100" s="84">
        <v>117837</v>
      </c>
    </row>
    <row r="101" spans="2:7" ht="12.75" customHeight="1" thickBot="1">
      <c r="C101" s="116"/>
      <c r="D101" s="116"/>
      <c r="E101" s="242"/>
      <c r="F101" s="85" t="s">
        <v>331</v>
      </c>
      <c r="G101" s="86">
        <f>SUM(G96:G100)</f>
        <v>3226014</v>
      </c>
    </row>
    <row r="102" spans="2:7" ht="12.75" customHeight="1" thickBot="1">
      <c r="C102" s="116"/>
      <c r="D102" s="116"/>
      <c r="E102" s="246"/>
      <c r="F102" s="110" t="s">
        <v>332</v>
      </c>
      <c r="G102" s="111">
        <f>[19]Amortizaciones!D19</f>
        <v>34980049</v>
      </c>
    </row>
    <row r="103" spans="2:7">
      <c r="C103" s="116"/>
      <c r="D103" s="116"/>
      <c r="E103" s="246" t="s">
        <v>333</v>
      </c>
      <c r="F103" s="78" t="s">
        <v>334</v>
      </c>
      <c r="G103" s="81">
        <v>0</v>
      </c>
    </row>
    <row r="104" spans="2:7">
      <c r="C104" s="116"/>
      <c r="D104" s="116"/>
      <c r="E104" s="246" t="s">
        <v>335</v>
      </c>
      <c r="F104" s="112" t="s">
        <v>336</v>
      </c>
      <c r="G104" s="79">
        <v>0</v>
      </c>
    </row>
    <row r="105" spans="2:7" ht="14.25" customHeight="1" thickBot="1">
      <c r="C105" s="116"/>
      <c r="D105" s="116"/>
      <c r="E105" s="242"/>
      <c r="F105" s="143" t="s">
        <v>337</v>
      </c>
      <c r="G105" s="144">
        <f>SUM(G103:G104)</f>
        <v>0</v>
      </c>
    </row>
    <row r="106" spans="2:7" ht="14.25" customHeight="1" thickBot="1">
      <c r="B106" s="26"/>
      <c r="C106" s="227"/>
      <c r="D106" s="227"/>
      <c r="E106" s="246"/>
      <c r="F106" s="72" t="s">
        <v>338</v>
      </c>
      <c r="G106" s="103">
        <f>G19+G27+G32+G48+G57+G79+G95+G101+G102+G105</f>
        <v>943030730</v>
      </c>
    </row>
    <row r="107" spans="2:7" ht="5.25" customHeight="1">
      <c r="B107" s="26"/>
      <c r="C107" s="227"/>
      <c r="D107" s="227"/>
      <c r="E107" s="242"/>
      <c r="F107" s="114"/>
      <c r="G107" s="115"/>
    </row>
    <row r="108" spans="2:7" ht="5.25" customHeight="1" thickBot="1">
      <c r="B108" s="26"/>
      <c r="C108" s="227"/>
      <c r="D108" s="227"/>
      <c r="E108" s="242"/>
      <c r="F108" s="116"/>
      <c r="G108" s="116"/>
    </row>
    <row r="109" spans="2:7" ht="16.5" customHeight="1" thickBot="1">
      <c r="B109" s="26"/>
      <c r="C109" s="227"/>
      <c r="D109" s="227"/>
      <c r="E109" s="242"/>
      <c r="F109" s="72" t="s">
        <v>339</v>
      </c>
      <c r="G109" s="103">
        <f>D61-G106</f>
        <v>82739703</v>
      </c>
    </row>
    <row r="110" spans="2:7" ht="6.75" customHeight="1" thickBot="1">
      <c r="B110" s="26"/>
      <c r="C110" s="227"/>
      <c r="D110" s="227"/>
      <c r="E110" s="242"/>
      <c r="F110" s="116"/>
      <c r="G110" s="116"/>
    </row>
    <row r="111" spans="2:7" ht="15" customHeight="1" thickBot="1">
      <c r="C111" s="72" t="s">
        <v>269</v>
      </c>
      <c r="D111" s="118">
        <f>+[19]E.S.P.!D6</f>
        <v>2021</v>
      </c>
      <c r="E111" s="246"/>
      <c r="F111" s="72" t="s">
        <v>340</v>
      </c>
      <c r="G111" s="118">
        <f>+[19]E.S.P.!D6</f>
        <v>2021</v>
      </c>
    </row>
    <row r="112" spans="2:7" ht="13.7" customHeight="1">
      <c r="B112" s="26" t="s">
        <v>341</v>
      </c>
      <c r="C112" s="119" t="s">
        <v>342</v>
      </c>
      <c r="D112" s="120">
        <v>7597502</v>
      </c>
      <c r="E112" s="242" t="s">
        <v>343</v>
      </c>
      <c r="F112" s="119" t="s">
        <v>308</v>
      </c>
      <c r="G112" s="120">
        <v>0</v>
      </c>
    </row>
    <row r="113" spans="2:7" ht="13.7" customHeight="1">
      <c r="B113" s="26" t="s">
        <v>344</v>
      </c>
      <c r="C113" s="121" t="s">
        <v>345</v>
      </c>
      <c r="D113" s="122">
        <v>72250015</v>
      </c>
      <c r="E113" s="242" t="s">
        <v>346</v>
      </c>
      <c r="F113" s="121" t="s">
        <v>347</v>
      </c>
      <c r="G113" s="122">
        <v>0</v>
      </c>
    </row>
    <row r="114" spans="2:7" ht="13.7" customHeight="1">
      <c r="B114" s="26" t="s">
        <v>348</v>
      </c>
      <c r="C114" s="121" t="s">
        <v>48</v>
      </c>
      <c r="D114" s="122">
        <v>0</v>
      </c>
      <c r="E114" s="242" t="s">
        <v>349</v>
      </c>
      <c r="F114" s="121" t="s">
        <v>350</v>
      </c>
      <c r="G114" s="122">
        <v>0</v>
      </c>
    </row>
    <row r="115" spans="2:7" ht="13.7" customHeight="1">
      <c r="B115" s="26" t="s">
        <v>351</v>
      </c>
      <c r="C115" s="121" t="s">
        <v>352</v>
      </c>
      <c r="D115" s="122">
        <v>307349</v>
      </c>
      <c r="E115" s="242" t="s">
        <v>353</v>
      </c>
      <c r="F115" s="121" t="s">
        <v>354</v>
      </c>
      <c r="G115" s="122">
        <v>0</v>
      </c>
    </row>
    <row r="116" spans="2:7" ht="13.7" customHeight="1">
      <c r="B116" s="26" t="s">
        <v>355</v>
      </c>
      <c r="C116" s="121" t="s">
        <v>356</v>
      </c>
      <c r="D116" s="122">
        <v>2935773</v>
      </c>
      <c r="E116" s="242" t="s">
        <v>357</v>
      </c>
      <c r="F116" s="121" t="s">
        <v>358</v>
      </c>
      <c r="G116" s="122">
        <v>6666241</v>
      </c>
    </row>
    <row r="117" spans="2:7" ht="13.7" customHeight="1">
      <c r="B117" s="26" t="s">
        <v>359</v>
      </c>
      <c r="C117" s="121" t="s">
        <v>360</v>
      </c>
      <c r="D117" s="122">
        <v>0</v>
      </c>
      <c r="E117" s="242" t="s">
        <v>361</v>
      </c>
      <c r="F117" s="121" t="s">
        <v>362</v>
      </c>
      <c r="G117" s="122">
        <v>0</v>
      </c>
    </row>
    <row r="118" spans="2:7" ht="13.7" customHeight="1">
      <c r="B118" s="26" t="s">
        <v>363</v>
      </c>
      <c r="C118" s="121" t="s">
        <v>364</v>
      </c>
      <c r="D118" s="122">
        <v>0</v>
      </c>
      <c r="E118" s="242" t="s">
        <v>365</v>
      </c>
      <c r="F118" s="121" t="s">
        <v>366</v>
      </c>
      <c r="G118" s="122">
        <v>0</v>
      </c>
    </row>
    <row r="119" spans="2:7" ht="13.7" customHeight="1">
      <c r="B119" s="26" t="s">
        <v>367</v>
      </c>
      <c r="C119" s="121" t="s">
        <v>368</v>
      </c>
      <c r="D119" s="122">
        <v>0</v>
      </c>
      <c r="E119" s="242" t="s">
        <v>369</v>
      </c>
      <c r="F119" s="121" t="s">
        <v>370</v>
      </c>
      <c r="G119" s="122">
        <v>0</v>
      </c>
    </row>
    <row r="120" spans="2:7" ht="13.7" customHeight="1">
      <c r="B120" s="26" t="s">
        <v>371</v>
      </c>
      <c r="C120" s="121" t="s">
        <v>372</v>
      </c>
      <c r="D120" s="122">
        <v>0</v>
      </c>
      <c r="E120" s="242" t="s">
        <v>373</v>
      </c>
      <c r="F120" s="121" t="s">
        <v>374</v>
      </c>
      <c r="G120" s="122">
        <v>0</v>
      </c>
    </row>
    <row r="121" spans="2:7" ht="13.7" customHeight="1">
      <c r="B121" s="26" t="s">
        <v>375</v>
      </c>
      <c r="C121" s="78" t="s">
        <v>376</v>
      </c>
      <c r="D121" s="122">
        <v>2949281</v>
      </c>
      <c r="E121" s="242" t="s">
        <v>377</v>
      </c>
      <c r="F121" s="121" t="s">
        <v>378</v>
      </c>
      <c r="G121" s="122">
        <v>5332810</v>
      </c>
    </row>
    <row r="122" spans="2:7" ht="13.7" customHeight="1" thickBot="1">
      <c r="B122" s="26"/>
      <c r="C122" s="85" t="s">
        <v>379</v>
      </c>
      <c r="D122" s="94">
        <f>SUM(D112:D121)</f>
        <v>86039920</v>
      </c>
      <c r="E122" s="242" t="s">
        <v>380</v>
      </c>
      <c r="F122" s="78" t="s">
        <v>381</v>
      </c>
      <c r="G122" s="79">
        <v>135886</v>
      </c>
    </row>
    <row r="123" spans="2:7" ht="13.7" customHeight="1" thickBot="1">
      <c r="B123" s="26" t="s">
        <v>382</v>
      </c>
      <c r="C123" s="123" t="s">
        <v>308</v>
      </c>
      <c r="D123" s="120">
        <v>1649408</v>
      </c>
      <c r="E123" s="246"/>
      <c r="F123" s="85" t="s">
        <v>383</v>
      </c>
      <c r="G123" s="94">
        <f>SUM(G112:G122)</f>
        <v>12134937</v>
      </c>
    </row>
    <row r="124" spans="2:7" ht="13.7" customHeight="1">
      <c r="B124" s="26" t="s">
        <v>384</v>
      </c>
      <c r="C124" s="121" t="s">
        <v>312</v>
      </c>
      <c r="D124" s="122">
        <v>0</v>
      </c>
      <c r="E124" s="242" t="s">
        <v>385</v>
      </c>
      <c r="F124" s="121" t="s">
        <v>386</v>
      </c>
      <c r="G124" s="122">
        <v>0</v>
      </c>
    </row>
    <row r="125" spans="2:7" ht="13.7" customHeight="1">
      <c r="B125" s="26" t="s">
        <v>387</v>
      </c>
      <c r="C125" s="78" t="s">
        <v>388</v>
      </c>
      <c r="D125" s="122">
        <v>58142</v>
      </c>
      <c r="E125" s="242" t="s">
        <v>389</v>
      </c>
      <c r="F125" s="121" t="s">
        <v>390</v>
      </c>
      <c r="G125" s="122">
        <v>0</v>
      </c>
    </row>
    <row r="126" spans="2:7" ht="13.7" customHeight="1" thickBot="1">
      <c r="B126" s="26"/>
      <c r="C126" s="85" t="s">
        <v>391</v>
      </c>
      <c r="D126" s="94">
        <f>SUM(D123:D125)</f>
        <v>1707550</v>
      </c>
      <c r="E126" s="242" t="s">
        <v>392</v>
      </c>
      <c r="F126" s="121" t="s">
        <v>393</v>
      </c>
      <c r="G126" s="122">
        <v>0</v>
      </c>
    </row>
    <row r="127" spans="2:7" ht="13.7" customHeight="1">
      <c r="B127" s="26" t="s">
        <v>394</v>
      </c>
      <c r="C127" s="119" t="s">
        <v>273</v>
      </c>
      <c r="D127" s="120">
        <v>2000098</v>
      </c>
      <c r="E127" s="242" t="s">
        <v>395</v>
      </c>
      <c r="F127" s="121" t="s">
        <v>396</v>
      </c>
      <c r="G127" s="122">
        <v>0</v>
      </c>
    </row>
    <row r="128" spans="2:7" ht="13.7" customHeight="1">
      <c r="B128" s="26" t="s">
        <v>397</v>
      </c>
      <c r="C128" s="121" t="s">
        <v>398</v>
      </c>
      <c r="D128" s="122">
        <v>1509740</v>
      </c>
      <c r="E128" s="242" t="s">
        <v>399</v>
      </c>
      <c r="F128" s="121" t="s">
        <v>400</v>
      </c>
      <c r="G128" s="122">
        <v>0</v>
      </c>
    </row>
    <row r="129" spans="2:7" ht="13.7" customHeight="1">
      <c r="B129" s="26" t="s">
        <v>401</v>
      </c>
      <c r="C129" s="121" t="s">
        <v>276</v>
      </c>
      <c r="D129" s="122">
        <v>0</v>
      </c>
      <c r="E129" s="242" t="s">
        <v>402</v>
      </c>
      <c r="F129" s="121" t="s">
        <v>403</v>
      </c>
      <c r="G129" s="122">
        <v>0</v>
      </c>
    </row>
    <row r="130" spans="2:7" ht="13.7" customHeight="1">
      <c r="B130" s="26" t="s">
        <v>404</v>
      </c>
      <c r="C130" s="121" t="s">
        <v>282</v>
      </c>
      <c r="D130" s="122">
        <v>0</v>
      </c>
      <c r="E130" s="242" t="s">
        <v>405</v>
      </c>
      <c r="F130" s="121" t="s">
        <v>406</v>
      </c>
      <c r="G130" s="122">
        <v>0</v>
      </c>
    </row>
    <row r="131" spans="2:7" ht="13.7" customHeight="1">
      <c r="B131" s="26" t="s">
        <v>407</v>
      </c>
      <c r="C131" s="121" t="s">
        <v>286</v>
      </c>
      <c r="D131" s="122">
        <v>0</v>
      </c>
      <c r="E131" s="242" t="s">
        <v>408</v>
      </c>
      <c r="F131" s="121" t="s">
        <v>409</v>
      </c>
      <c r="G131" s="122">
        <v>0</v>
      </c>
    </row>
    <row r="132" spans="2:7" ht="13.7" customHeight="1">
      <c r="B132" s="26" t="s">
        <v>410</v>
      </c>
      <c r="C132" s="121" t="s">
        <v>290</v>
      </c>
      <c r="D132" s="122">
        <v>0</v>
      </c>
      <c r="E132" s="242" t="s">
        <v>411</v>
      </c>
      <c r="F132" s="121" t="s">
        <v>412</v>
      </c>
      <c r="G132" s="122">
        <v>418237</v>
      </c>
    </row>
    <row r="133" spans="2:7" ht="13.7" customHeight="1">
      <c r="B133" s="26" t="s">
        <v>413</v>
      </c>
      <c r="C133" s="121" t="s">
        <v>294</v>
      </c>
      <c r="D133" s="122">
        <v>404098</v>
      </c>
      <c r="E133" s="242" t="s">
        <v>414</v>
      </c>
      <c r="F133" s="121" t="s">
        <v>415</v>
      </c>
      <c r="G133" s="122">
        <v>0</v>
      </c>
    </row>
    <row r="134" spans="2:7" ht="13.7" customHeight="1">
      <c r="B134" s="26" t="s">
        <v>416</v>
      </c>
      <c r="C134" s="121" t="s">
        <v>417</v>
      </c>
      <c r="D134" s="122">
        <v>971409</v>
      </c>
      <c r="E134" s="242" t="s">
        <v>418</v>
      </c>
      <c r="F134" s="121" t="s">
        <v>419</v>
      </c>
      <c r="G134" s="122">
        <v>0</v>
      </c>
    </row>
    <row r="135" spans="2:7" ht="13.7" customHeight="1">
      <c r="B135" s="26" t="s">
        <v>420</v>
      </c>
      <c r="C135" s="121" t="s">
        <v>421</v>
      </c>
      <c r="D135" s="122">
        <v>0</v>
      </c>
      <c r="E135" s="242" t="s">
        <v>422</v>
      </c>
      <c r="F135" s="121" t="s">
        <v>423</v>
      </c>
      <c r="G135" s="122">
        <v>0</v>
      </c>
    </row>
    <row r="136" spans="2:7" ht="13.7" customHeight="1">
      <c r="B136" s="26" t="s">
        <v>424</v>
      </c>
      <c r="C136" s="121" t="s">
        <v>317</v>
      </c>
      <c r="D136" s="122">
        <v>1382335</v>
      </c>
      <c r="E136" s="242" t="s">
        <v>425</v>
      </c>
      <c r="F136" s="121" t="s">
        <v>426</v>
      </c>
      <c r="G136" s="122">
        <v>2442943</v>
      </c>
    </row>
    <row r="137" spans="2:7" ht="13.7" customHeight="1">
      <c r="B137" s="26" t="s">
        <v>427</v>
      </c>
      <c r="C137" s="78" t="s">
        <v>319</v>
      </c>
      <c r="D137" s="124">
        <v>218548</v>
      </c>
      <c r="E137" s="242" t="s">
        <v>428</v>
      </c>
      <c r="F137" s="121" t="s">
        <v>429</v>
      </c>
      <c r="G137" s="122">
        <v>9278142</v>
      </c>
    </row>
    <row r="138" spans="2:7" ht="13.7" customHeight="1" thickBot="1">
      <c r="B138" s="26"/>
      <c r="C138" s="85" t="s">
        <v>320</v>
      </c>
      <c r="D138" s="94">
        <f>SUM(D127:D137)</f>
        <v>6486228</v>
      </c>
      <c r="E138" s="242" t="s">
        <v>430</v>
      </c>
      <c r="F138" s="78" t="s">
        <v>431</v>
      </c>
      <c r="G138" s="79">
        <v>173165</v>
      </c>
    </row>
    <row r="139" spans="2:7" ht="13.7" customHeight="1" thickBot="1">
      <c r="B139" s="26" t="s">
        <v>432</v>
      </c>
      <c r="C139" s="119" t="s">
        <v>326</v>
      </c>
      <c r="D139" s="120">
        <v>0</v>
      </c>
      <c r="E139" s="228"/>
      <c r="F139" s="85" t="s">
        <v>433</v>
      </c>
      <c r="G139" s="94">
        <f>SUM(G124:G138)</f>
        <v>12312487</v>
      </c>
    </row>
    <row r="140" spans="2:7" ht="13.7" customHeight="1" thickBot="1">
      <c r="B140" s="26" t="s">
        <v>434</v>
      </c>
      <c r="C140" s="121" t="s">
        <v>328</v>
      </c>
      <c r="D140" s="122">
        <v>0</v>
      </c>
      <c r="E140" s="228"/>
      <c r="F140" s="110" t="s">
        <v>435</v>
      </c>
      <c r="G140" s="126">
        <f>G123-G139</f>
        <v>-177550</v>
      </c>
    </row>
    <row r="141" spans="2:7" ht="13.7" customHeight="1">
      <c r="B141" s="26" t="s">
        <v>436</v>
      </c>
      <c r="C141" s="78" t="s">
        <v>330</v>
      </c>
      <c r="D141" s="124">
        <v>0</v>
      </c>
      <c r="E141" s="229"/>
      <c r="F141" s="116"/>
      <c r="G141" s="116"/>
    </row>
    <row r="142" spans="2:7" ht="13.7" customHeight="1" thickBot="1">
      <c r="B142" s="26"/>
      <c r="C142" s="85" t="s">
        <v>331</v>
      </c>
      <c r="D142" s="94">
        <f>SUM(D139:D141)</f>
        <v>0</v>
      </c>
      <c r="E142" s="229"/>
      <c r="F142" s="116"/>
      <c r="G142" s="116"/>
    </row>
    <row r="143" spans="2:7" ht="13.5" customHeight="1" thickBot="1">
      <c r="B143" s="26"/>
      <c r="C143" s="110" t="s">
        <v>332</v>
      </c>
      <c r="D143" s="126">
        <f>[19]Amortizaciones!D33</f>
        <v>0</v>
      </c>
      <c r="E143" s="242"/>
      <c r="F143" s="72" t="s">
        <v>437</v>
      </c>
      <c r="G143" s="118">
        <f>+[19]E.S.P.!D6</f>
        <v>2021</v>
      </c>
    </row>
    <row r="144" spans="2:7" ht="13.7" customHeight="1">
      <c r="B144" s="26" t="s">
        <v>438</v>
      </c>
      <c r="C144" s="119" t="s">
        <v>439</v>
      </c>
      <c r="D144" s="120">
        <v>3439178</v>
      </c>
      <c r="E144" s="242" t="s">
        <v>440</v>
      </c>
      <c r="F144" s="119" t="s">
        <v>441</v>
      </c>
      <c r="G144" s="120">
        <v>217478</v>
      </c>
    </row>
    <row r="145" spans="2:7" ht="13.7" customHeight="1">
      <c r="B145" s="26" t="s">
        <v>442</v>
      </c>
      <c r="C145" s="121" t="s">
        <v>443</v>
      </c>
      <c r="D145" s="122">
        <v>0</v>
      </c>
      <c r="E145" s="242" t="s">
        <v>444</v>
      </c>
      <c r="F145" s="121" t="s">
        <v>445</v>
      </c>
      <c r="G145" s="122">
        <v>121918</v>
      </c>
    </row>
    <row r="146" spans="2:7" ht="13.7" customHeight="1">
      <c r="B146" s="26" t="s">
        <v>446</v>
      </c>
      <c r="C146" s="128" t="s">
        <v>447</v>
      </c>
      <c r="D146" s="122">
        <v>0</v>
      </c>
      <c r="E146" s="242" t="s">
        <v>448</v>
      </c>
      <c r="F146" s="121" t="s">
        <v>449</v>
      </c>
      <c r="G146" s="122">
        <v>427772</v>
      </c>
    </row>
    <row r="147" spans="2:7" ht="13.7" customHeight="1">
      <c r="B147" s="26" t="s">
        <v>450</v>
      </c>
      <c r="C147" s="78" t="s">
        <v>451</v>
      </c>
      <c r="D147" s="124">
        <v>119383</v>
      </c>
      <c r="E147" s="242" t="s">
        <v>452</v>
      </c>
      <c r="F147" s="121" t="s">
        <v>453</v>
      </c>
      <c r="G147" s="122">
        <v>0</v>
      </c>
    </row>
    <row r="148" spans="2:7" ht="13.7" customHeight="1" thickBot="1">
      <c r="B148" s="26"/>
      <c r="C148" s="85" t="s">
        <v>518</v>
      </c>
      <c r="D148" s="94">
        <f>SUM(D144:D147)</f>
        <v>3558561</v>
      </c>
      <c r="E148" s="242" t="s">
        <v>454</v>
      </c>
      <c r="F148" s="121" t="s">
        <v>455</v>
      </c>
      <c r="G148" s="122">
        <v>0</v>
      </c>
    </row>
    <row r="149" spans="2:7" ht="13.7" customHeight="1">
      <c r="B149" s="26" t="s">
        <v>456</v>
      </c>
      <c r="C149" s="119" t="s">
        <v>457</v>
      </c>
      <c r="D149" s="120">
        <v>0</v>
      </c>
      <c r="E149" s="242" t="s">
        <v>458</v>
      </c>
      <c r="F149" s="121" t="s">
        <v>459</v>
      </c>
      <c r="G149" s="122">
        <v>0</v>
      </c>
    </row>
    <row r="150" spans="2:7" ht="13.7" customHeight="1">
      <c r="B150" s="26" t="s">
        <v>460</v>
      </c>
      <c r="C150" s="121" t="s">
        <v>461</v>
      </c>
      <c r="D150" s="122">
        <v>0</v>
      </c>
      <c r="E150" s="242" t="s">
        <v>462</v>
      </c>
      <c r="F150" s="121" t="s">
        <v>463</v>
      </c>
      <c r="G150" s="122">
        <v>0</v>
      </c>
    </row>
    <row r="151" spans="2:7" ht="13.7" customHeight="1">
      <c r="B151" s="26" t="s">
        <v>464</v>
      </c>
      <c r="C151" s="78" t="s">
        <v>465</v>
      </c>
      <c r="D151" s="124">
        <v>0</v>
      </c>
      <c r="E151" s="242" t="s">
        <v>466</v>
      </c>
      <c r="F151" s="121" t="s">
        <v>467</v>
      </c>
      <c r="G151" s="122">
        <v>0</v>
      </c>
    </row>
    <row r="152" spans="2:7" ht="13.7" customHeight="1" thickBot="1">
      <c r="B152" s="26"/>
      <c r="C152" s="85" t="s">
        <v>516</v>
      </c>
      <c r="D152" s="94">
        <f>SUM(D149:D151)</f>
        <v>0</v>
      </c>
      <c r="E152" s="242" t="s">
        <v>469</v>
      </c>
      <c r="F152" s="121" t="s">
        <v>470</v>
      </c>
      <c r="G152" s="122">
        <v>0</v>
      </c>
    </row>
    <row r="153" spans="2:7" ht="15" customHeight="1" thickBot="1">
      <c r="B153" s="26"/>
      <c r="C153" s="110" t="s">
        <v>471</v>
      </c>
      <c r="D153" s="129">
        <f>D122+D126+D138+D142+D143+D148+D152</f>
        <v>97792259</v>
      </c>
      <c r="E153" s="242" t="s">
        <v>472</v>
      </c>
      <c r="F153" s="78" t="s">
        <v>473</v>
      </c>
      <c r="G153" s="79">
        <v>22866</v>
      </c>
    </row>
    <row r="154" spans="2:7" ht="13.7" customHeight="1" thickBot="1">
      <c r="B154" s="26"/>
      <c r="C154" s="116"/>
      <c r="D154" s="116"/>
      <c r="E154" s="242"/>
      <c r="F154" s="85" t="s">
        <v>474</v>
      </c>
      <c r="G154" s="94">
        <f>SUM(G144:G153)</f>
        <v>790034</v>
      </c>
    </row>
    <row r="155" spans="2:7" ht="13.5" customHeight="1" thickBot="1">
      <c r="B155" s="26"/>
      <c r="C155" s="72" t="s">
        <v>475</v>
      </c>
      <c r="D155" s="103">
        <f>G109-D153</f>
        <v>-15052556</v>
      </c>
      <c r="E155" s="242" t="s">
        <v>476</v>
      </c>
      <c r="F155" s="119" t="s">
        <v>477</v>
      </c>
      <c r="G155" s="120">
        <v>0</v>
      </c>
    </row>
    <row r="156" spans="2:7" ht="13.7" customHeight="1">
      <c r="C156" s="116"/>
      <c r="D156" s="116"/>
      <c r="E156" s="242" t="s">
        <v>478</v>
      </c>
      <c r="F156" s="121" t="s">
        <v>479</v>
      </c>
      <c r="G156" s="122">
        <v>671411</v>
      </c>
    </row>
    <row r="157" spans="2:7" ht="13.7" customHeight="1">
      <c r="C157" s="116"/>
      <c r="D157" s="116"/>
      <c r="E157" s="242" t="s">
        <v>480</v>
      </c>
      <c r="F157" s="121" t="s">
        <v>481</v>
      </c>
      <c r="G157" s="122">
        <v>0</v>
      </c>
    </row>
    <row r="158" spans="2:7" ht="13.7" customHeight="1">
      <c r="C158" s="116"/>
      <c r="D158" s="116"/>
      <c r="E158" s="242" t="s">
        <v>482</v>
      </c>
      <c r="F158" s="121" t="s">
        <v>483</v>
      </c>
      <c r="G158" s="122">
        <v>0</v>
      </c>
    </row>
    <row r="159" spans="2:7" ht="13.7" customHeight="1">
      <c r="C159" s="116"/>
      <c r="D159" s="116"/>
      <c r="E159" s="242" t="s">
        <v>484</v>
      </c>
      <c r="F159" s="121" t="s">
        <v>485</v>
      </c>
      <c r="G159" s="122">
        <v>0</v>
      </c>
    </row>
    <row r="160" spans="2:7" ht="13.7" customHeight="1">
      <c r="C160" s="116"/>
      <c r="D160" s="116"/>
      <c r="E160" s="242" t="s">
        <v>486</v>
      </c>
      <c r="F160" s="121" t="s">
        <v>487</v>
      </c>
      <c r="G160" s="122">
        <v>0</v>
      </c>
    </row>
    <row r="161" spans="3:7" ht="13.7" customHeight="1">
      <c r="C161" s="116"/>
      <c r="D161" s="116"/>
      <c r="E161" s="242" t="s">
        <v>488</v>
      </c>
      <c r="F161" s="121" t="s">
        <v>489</v>
      </c>
      <c r="G161" s="122">
        <v>0</v>
      </c>
    </row>
    <row r="162" spans="3:7" ht="13.7" customHeight="1">
      <c r="C162" s="116"/>
      <c r="D162" s="116"/>
      <c r="E162" s="242" t="s">
        <v>490</v>
      </c>
      <c r="F162" s="121" t="s">
        <v>491</v>
      </c>
      <c r="G162" s="122">
        <v>0</v>
      </c>
    </row>
    <row r="163" spans="3:7" ht="13.7" customHeight="1">
      <c r="C163" s="116"/>
      <c r="D163" s="116"/>
      <c r="E163" s="242" t="s">
        <v>492</v>
      </c>
      <c r="F163" s="121" t="s">
        <v>493</v>
      </c>
      <c r="G163" s="122">
        <v>0</v>
      </c>
    </row>
    <row r="164" spans="3:7" ht="13.7" customHeight="1">
      <c r="C164" s="116"/>
      <c r="D164" s="116"/>
      <c r="E164" s="242" t="s">
        <v>494</v>
      </c>
      <c r="F164" s="121" t="s">
        <v>495</v>
      </c>
      <c r="G164" s="122">
        <v>1829847</v>
      </c>
    </row>
    <row r="165" spans="3:7" ht="13.7" customHeight="1">
      <c r="C165" s="116"/>
      <c r="D165" s="116"/>
      <c r="E165" s="242" t="s">
        <v>496</v>
      </c>
      <c r="F165" s="121" t="s">
        <v>497</v>
      </c>
      <c r="G165" s="122">
        <f>6564466</f>
        <v>6564466</v>
      </c>
    </row>
    <row r="166" spans="3:7" ht="13.7" customHeight="1">
      <c r="C166" s="116"/>
      <c r="D166" s="116"/>
      <c r="E166" s="242" t="s">
        <v>498</v>
      </c>
      <c r="F166" s="121" t="s">
        <v>499</v>
      </c>
      <c r="G166" s="122">
        <v>1000411</v>
      </c>
    </row>
    <row r="167" spans="3:7" ht="13.7" customHeight="1">
      <c r="C167" s="116"/>
      <c r="D167" s="116"/>
      <c r="E167" s="242" t="s">
        <v>500</v>
      </c>
      <c r="F167" s="78" t="s">
        <v>501</v>
      </c>
      <c r="G167" s="79">
        <v>41734</v>
      </c>
    </row>
    <row r="168" spans="3:7" ht="13.7" customHeight="1" thickBot="1">
      <c r="C168" s="116"/>
      <c r="D168" s="116"/>
      <c r="E168" s="242"/>
      <c r="F168" s="85" t="s">
        <v>502</v>
      </c>
      <c r="G168" s="94">
        <f>SUM(G155:G167)</f>
        <v>10107869</v>
      </c>
    </row>
    <row r="169" spans="3:7" ht="13.7" customHeight="1" thickBot="1">
      <c r="C169" s="116"/>
      <c r="D169" s="116"/>
      <c r="E169" s="242"/>
      <c r="F169" s="110" t="s">
        <v>503</v>
      </c>
      <c r="G169" s="126">
        <f>G154-G168</f>
        <v>-9317835</v>
      </c>
    </row>
    <row r="170" spans="3:7" ht="7.5" customHeight="1" thickBot="1">
      <c r="C170" s="116"/>
      <c r="D170" s="116"/>
      <c r="E170" s="242"/>
      <c r="F170" s="116"/>
      <c r="G170" s="116"/>
    </row>
    <row r="171" spans="3:7" ht="13.7" customHeight="1" thickBot="1">
      <c r="C171" s="116"/>
      <c r="D171" s="116"/>
      <c r="E171" s="242"/>
      <c r="F171" s="72" t="s">
        <v>504</v>
      </c>
      <c r="G171" s="131"/>
    </row>
    <row r="172" spans="3:7" ht="13.7" customHeight="1" thickBot="1">
      <c r="C172" s="116"/>
      <c r="D172" s="116"/>
      <c r="E172" s="242"/>
      <c r="F172" s="132"/>
      <c r="G172" s="133">
        <f>+D155+G140+G169</f>
        <v>-24547941</v>
      </c>
    </row>
    <row r="173" spans="3:7" ht="9" customHeight="1" thickBot="1">
      <c r="C173" s="116"/>
      <c r="D173" s="116"/>
      <c r="E173" s="242"/>
      <c r="F173" s="134"/>
      <c r="G173" s="135"/>
    </row>
    <row r="174" spans="3:7" ht="15" customHeight="1" thickBot="1">
      <c r="C174" s="116"/>
      <c r="D174" s="116"/>
      <c r="E174" s="242"/>
      <c r="F174" s="72" t="s">
        <v>505</v>
      </c>
      <c r="G174" s="118">
        <f>+G143</f>
        <v>2021</v>
      </c>
    </row>
    <row r="175" spans="3:7" ht="13.7" customHeight="1">
      <c r="C175" s="116"/>
      <c r="D175" s="116"/>
      <c r="E175" s="242"/>
      <c r="F175" s="119" t="s">
        <v>506</v>
      </c>
      <c r="G175" s="120">
        <v>0</v>
      </c>
    </row>
    <row r="176" spans="3:7" ht="13.7" customHeight="1">
      <c r="C176" s="116"/>
      <c r="D176" s="116"/>
      <c r="E176" s="242"/>
      <c r="F176" s="121" t="s">
        <v>507</v>
      </c>
      <c r="G176" s="122">
        <v>0</v>
      </c>
    </row>
    <row r="177" spans="1:8" ht="13.7" customHeight="1" thickBot="1">
      <c r="C177" s="116"/>
      <c r="D177" s="116"/>
      <c r="E177" s="242"/>
      <c r="F177" s="121" t="s">
        <v>508</v>
      </c>
      <c r="G177" s="122">
        <v>4418059</v>
      </c>
    </row>
    <row r="178" spans="1:8" ht="13.7" customHeight="1" thickBot="1">
      <c r="C178" s="116"/>
      <c r="D178" s="116"/>
      <c r="E178" s="242"/>
      <c r="F178" s="72" t="s">
        <v>509</v>
      </c>
      <c r="G178" s="103">
        <f>SUM(G175:G177)</f>
        <v>4418059</v>
      </c>
    </row>
    <row r="179" spans="1:8" ht="9.75" customHeight="1" thickBot="1">
      <c r="C179" s="116"/>
      <c r="D179" s="116"/>
      <c r="E179" s="242"/>
      <c r="F179" s="116"/>
      <c r="G179" s="116"/>
    </row>
    <row r="180" spans="1:8" ht="14.25" customHeight="1" thickBot="1">
      <c r="C180" s="116"/>
      <c r="D180" s="116"/>
      <c r="E180" s="242"/>
      <c r="F180" s="72" t="s">
        <v>519</v>
      </c>
      <c r="G180" s="131"/>
    </row>
    <row r="181" spans="1:8" ht="16.5" customHeight="1" thickBot="1">
      <c r="C181" s="116"/>
      <c r="D181" s="116"/>
      <c r="E181" s="242"/>
      <c r="F181" s="132"/>
      <c r="G181" s="133">
        <f>+G172+G178</f>
        <v>-20129882</v>
      </c>
    </row>
    <row r="182" spans="1:8" ht="13.7" customHeight="1"/>
    <row r="183" spans="1:8" ht="13.5" customHeight="1"/>
    <row r="184" spans="1:8" ht="13.7" customHeight="1">
      <c r="E184" s="41"/>
      <c r="F184" s="25"/>
      <c r="G184" s="25"/>
      <c r="H184" s="41"/>
    </row>
    <row r="185" spans="1:8" s="41" customFormat="1" ht="13.7" customHeight="1">
      <c r="A185" s="42"/>
      <c r="C185" s="25"/>
      <c r="D185" s="25"/>
      <c r="E185" s="34"/>
      <c r="F185" s="40"/>
      <c r="G185" s="40"/>
    </row>
    <row r="186" spans="1:8" s="41" customFormat="1">
      <c r="A186" s="42"/>
      <c r="C186" s="25"/>
      <c r="D186" s="25"/>
      <c r="E186" s="34"/>
      <c r="F186" s="40"/>
      <c r="G186" s="40"/>
    </row>
    <row r="187" spans="1:8" s="41" customFormat="1" hidden="1">
      <c r="A187" s="42"/>
      <c r="C187" s="25"/>
      <c r="D187" s="25"/>
      <c r="E187" s="34"/>
      <c r="F187" s="40"/>
      <c r="G187" s="40"/>
    </row>
    <row r="188" spans="1:8" s="41" customFormat="1" hidden="1">
      <c r="A188" s="42"/>
      <c r="C188" s="25"/>
      <c r="D188" s="25"/>
      <c r="E188" s="34"/>
      <c r="F188" s="40"/>
      <c r="G188" s="40"/>
    </row>
    <row r="189" spans="1:8" s="41" customFormat="1" hidden="1">
      <c r="A189" s="42"/>
      <c r="C189" s="25"/>
      <c r="D189" s="25"/>
      <c r="E189" s="34"/>
      <c r="F189" s="40"/>
      <c r="G189" s="40"/>
    </row>
    <row r="190" spans="1:8" s="41" customFormat="1" hidden="1">
      <c r="A190" s="42"/>
      <c r="C190" s="25"/>
      <c r="D190" s="25"/>
      <c r="E190" s="34"/>
      <c r="F190" s="40"/>
      <c r="G190" s="40"/>
    </row>
    <row r="191" spans="1:8" s="41" customFormat="1" hidden="1">
      <c r="A191" s="42"/>
      <c r="C191" s="25"/>
      <c r="D191" s="25"/>
      <c r="E191" s="34"/>
      <c r="F191" s="40"/>
      <c r="G191" s="40"/>
    </row>
    <row r="192" spans="1:8" s="41" customFormat="1" hidden="1">
      <c r="A192" s="42"/>
      <c r="C192" s="25"/>
      <c r="D192" s="25"/>
      <c r="E192" s="34"/>
      <c r="F192" s="40"/>
      <c r="G192" s="40"/>
    </row>
    <row r="193" spans="3:7" s="41" customFormat="1" hidden="1">
      <c r="C193" s="25"/>
      <c r="D193" s="25"/>
      <c r="E193" s="34"/>
      <c r="F193" s="40"/>
      <c r="G193" s="40"/>
    </row>
    <row r="194" spans="3:7" s="41" customFormat="1" hidden="1">
      <c r="C194" s="25"/>
      <c r="D194" s="25"/>
      <c r="E194" s="34"/>
      <c r="F194" s="40"/>
      <c r="G194" s="40"/>
    </row>
    <row r="195" spans="3:7" s="41" customFormat="1" hidden="1">
      <c r="C195" s="25"/>
      <c r="D195" s="25"/>
      <c r="E195" s="34"/>
      <c r="F195" s="40"/>
      <c r="G195" s="40"/>
    </row>
    <row r="196" spans="3:7" s="41" customFormat="1" hidden="1">
      <c r="C196" s="25"/>
      <c r="D196" s="25"/>
      <c r="E196" s="34"/>
      <c r="F196" s="40"/>
      <c r="G196" s="40"/>
    </row>
    <row r="197" spans="3:7" s="41" customFormat="1" hidden="1">
      <c r="C197" s="25"/>
      <c r="D197" s="25"/>
      <c r="E197" s="34"/>
      <c r="F197" s="40"/>
      <c r="G197" s="40"/>
    </row>
    <row r="198" spans="3:7" s="41" customFormat="1" hidden="1">
      <c r="C198" s="25"/>
      <c r="D198" s="25"/>
      <c r="E198" s="34"/>
      <c r="F198" s="40"/>
      <c r="G198" s="40"/>
    </row>
    <row r="199" spans="3:7" s="41" customFormat="1" hidden="1">
      <c r="C199" s="25"/>
      <c r="D199" s="25"/>
      <c r="E199" s="34"/>
      <c r="F199" s="40"/>
      <c r="G199" s="40"/>
    </row>
    <row r="200" spans="3:7" s="41" customFormat="1" hidden="1">
      <c r="C200" s="25"/>
      <c r="D200" s="25"/>
      <c r="E200" s="34"/>
      <c r="F200" s="40"/>
      <c r="G200" s="40"/>
    </row>
    <row r="201" spans="3:7" s="41" customFormat="1" hidden="1">
      <c r="C201" s="25"/>
      <c r="D201" s="25"/>
      <c r="E201" s="34"/>
      <c r="F201" s="40"/>
      <c r="G201" s="40"/>
    </row>
    <row r="202" spans="3:7" s="41" customFormat="1" hidden="1">
      <c r="C202" s="25"/>
      <c r="D202" s="25"/>
      <c r="E202" s="34"/>
      <c r="F202" s="40"/>
      <c r="G202" s="40"/>
    </row>
    <row r="203" spans="3:7" s="41" customFormat="1" hidden="1">
      <c r="C203" s="25"/>
      <c r="D203" s="25"/>
      <c r="E203" s="34"/>
      <c r="F203" s="40"/>
      <c r="G203" s="40"/>
    </row>
    <row r="204" spans="3:7" s="41" customFormat="1" hidden="1">
      <c r="C204" s="25"/>
      <c r="D204" s="25"/>
      <c r="E204" s="34"/>
      <c r="F204" s="40"/>
      <c r="G204" s="40"/>
    </row>
    <row r="205" spans="3:7" s="41" customFormat="1" hidden="1">
      <c r="C205" s="25"/>
      <c r="D205" s="25"/>
      <c r="E205" s="34"/>
      <c r="F205" s="40"/>
      <c r="G205" s="40"/>
    </row>
    <row r="206" spans="3:7" s="41" customFormat="1" hidden="1">
      <c r="C206" s="25"/>
      <c r="D206" s="25"/>
      <c r="E206" s="34"/>
      <c r="F206" s="40"/>
      <c r="G206" s="40"/>
    </row>
    <row r="207" spans="3:7" s="41" customFormat="1" hidden="1">
      <c r="C207" s="25"/>
      <c r="D207" s="25"/>
      <c r="E207" s="34"/>
      <c r="F207" s="40"/>
      <c r="G207" s="40"/>
    </row>
    <row r="208" spans="3:7" s="41" customFormat="1" hidden="1">
      <c r="C208" s="25"/>
      <c r="D208" s="25"/>
      <c r="E208" s="34"/>
      <c r="F208" s="40"/>
      <c r="G208" s="40"/>
    </row>
    <row r="209" spans="3:8" s="41" customFormat="1" hidden="1">
      <c r="C209" s="25"/>
      <c r="D209" s="25"/>
      <c r="E209" s="34"/>
      <c r="F209" s="40"/>
      <c r="G209" s="40"/>
    </row>
    <row r="210" spans="3:8" s="41" customFormat="1" hidden="1">
      <c r="C210" s="25"/>
      <c r="D210" s="25"/>
      <c r="E210" s="34"/>
      <c r="F210" s="40"/>
      <c r="G210" s="40"/>
    </row>
    <row r="211" spans="3:8" s="41" customFormat="1" hidden="1">
      <c r="C211" s="25"/>
      <c r="D211" s="25"/>
      <c r="E211" s="34"/>
      <c r="F211" s="40"/>
      <c r="G211" s="40"/>
    </row>
    <row r="212" spans="3:8" s="41" customFormat="1" hidden="1">
      <c r="C212" s="25"/>
      <c r="D212" s="25"/>
      <c r="E212" s="34"/>
      <c r="F212" s="40"/>
      <c r="G212" s="40"/>
    </row>
    <row r="213" spans="3:8" s="41" customFormat="1" hidden="1">
      <c r="C213" s="25"/>
      <c r="D213" s="25"/>
      <c r="E213" s="34"/>
      <c r="F213" s="40"/>
      <c r="G213" s="40"/>
    </row>
    <row r="214" spans="3:8" s="41" customFormat="1" hidden="1">
      <c r="C214" s="25"/>
      <c r="D214" s="25"/>
      <c r="E214" s="34"/>
      <c r="F214" s="40"/>
      <c r="G214" s="40"/>
      <c r="H214" s="25"/>
    </row>
  </sheetData>
  <mergeCells count="6">
    <mergeCell ref="C1:D1"/>
    <mergeCell ref="E1:F1"/>
    <mergeCell ref="C2:D2"/>
    <mergeCell ref="E2:F2"/>
    <mergeCell ref="C3:D3"/>
    <mergeCell ref="E3:F3"/>
  </mergeCells>
  <conditionalFormatting sqref="D7:D12">
    <cfRule type="cellIs" dxfId="302" priority="10" stopIfTrue="1" operator="greaterThan">
      <formula>50</formula>
    </cfRule>
    <cfRule type="cellIs" dxfId="301" priority="19" stopIfTrue="1" operator="equal">
      <formula>0</formula>
    </cfRule>
  </conditionalFormatting>
  <conditionalFormatting sqref="D7:D47 G7 G9 D56:D61 D49:D54">
    <cfRule type="cellIs" dxfId="300" priority="17" stopIfTrue="1" operator="between">
      <formula>-0.1</formula>
      <formula>-50</formula>
    </cfRule>
    <cfRule type="cellIs" dxfId="299" priority="18" stopIfTrue="1" operator="between">
      <formula>0.1</formula>
      <formula>50</formula>
    </cfRule>
  </conditionalFormatting>
  <conditionalFormatting sqref="G152:G181 G10:G150">
    <cfRule type="cellIs" dxfId="298" priority="15" stopIfTrue="1" operator="between">
      <formula>-0.1</formula>
      <formula>-50</formula>
    </cfRule>
    <cfRule type="cellIs" dxfId="297" priority="16" stopIfTrue="1" operator="between">
      <formula>0.1</formula>
      <formula>50</formula>
    </cfRule>
  </conditionalFormatting>
  <conditionalFormatting sqref="D111:D147 D149:D155">
    <cfRule type="cellIs" dxfId="296" priority="13" stopIfTrue="1" operator="between">
      <formula>-0.1</formula>
      <formula>-50</formula>
    </cfRule>
    <cfRule type="cellIs" dxfId="295" priority="14" stopIfTrue="1" operator="between">
      <formula>0.1</formula>
      <formula>50</formula>
    </cfRule>
  </conditionalFormatting>
  <conditionalFormatting sqref="G165">
    <cfRule type="expression" dxfId="294" priority="12" stopIfTrue="1">
      <formula>AND($G$165&gt;0,$G$151&gt;0)</formula>
    </cfRule>
  </conditionalFormatting>
  <conditionalFormatting sqref="G151">
    <cfRule type="expression" dxfId="293" priority="9" stopIfTrue="1">
      <formula>AND($G$151&gt;0,$G$165&gt;0)</formula>
    </cfRule>
  </conditionalFormatting>
  <conditionalFormatting sqref="G8">
    <cfRule type="cellIs" dxfId="292" priority="7" stopIfTrue="1" operator="between">
      <formula>-0.1</formula>
      <formula>-50</formula>
    </cfRule>
    <cfRule type="cellIs" dxfId="291" priority="8" stopIfTrue="1" operator="between">
      <formula>0.1</formula>
      <formula>50</formula>
    </cfRule>
  </conditionalFormatting>
  <conditionalFormatting sqref="D148">
    <cfRule type="cellIs" dxfId="290" priority="5" stopIfTrue="1" operator="between">
      <formula>-0.1</formula>
      <formula>-50</formula>
    </cfRule>
    <cfRule type="cellIs" dxfId="289" priority="6" stopIfTrue="1" operator="between">
      <formula>0.1</formula>
      <formula>50</formula>
    </cfRule>
  </conditionalFormatting>
  <conditionalFormatting sqref="D55">
    <cfRule type="cellIs" dxfId="288" priority="3" stopIfTrue="1" operator="between">
      <formula>-0.1</formula>
      <formula>-50</formula>
    </cfRule>
    <cfRule type="cellIs" dxfId="287" priority="4" stopIfTrue="1" operator="between">
      <formula>0.1</formula>
      <formula>50</formula>
    </cfRule>
  </conditionalFormatting>
  <conditionalFormatting sqref="D48">
    <cfRule type="cellIs" dxfId="286" priority="1" stopIfTrue="1" operator="between">
      <formula>-0.1</formula>
      <formula>-50</formula>
    </cfRule>
    <cfRule type="cellIs" dxfId="285" priority="2" stopIfTrue="1" operator="between">
      <formula>0.1</formula>
      <formula>50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D13:D55 D62:D155 G152:G164 G166:G181 G144:G150 G7:G140">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65 G99" unlockedFormula="1"/>
    <ignoredError sqref="G40" formulaRange="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1" sqref="C171"/>
    </sheetView>
  </sheetViews>
  <sheetFormatPr baseColWidth="10" defaultColWidth="0" defaultRowHeight="15.75" zeroHeight="1"/>
  <cols>
    <col min="1" max="1" width="3" style="1" customWidth="1"/>
    <col min="2" max="2" width="14.28515625" style="6" hidden="1" customWidth="1"/>
    <col min="3" max="3" width="56.85546875" style="19" customWidth="1"/>
    <col min="4" max="4" width="21" style="19" customWidth="1"/>
    <col min="5" max="5" width="3.85546875" style="13" customWidth="1"/>
    <col min="6" max="6" width="57.28515625" style="19" customWidth="1"/>
    <col min="7" max="7" width="21" style="19" customWidth="1"/>
    <col min="8" max="8" width="3" style="4" customWidth="1"/>
    <col min="9" max="16384" width="0" style="4" hidden="1"/>
  </cols>
  <sheetData>
    <row r="1" spans="1:9">
      <c r="B1" s="2"/>
      <c r="C1" s="255" t="s">
        <v>0</v>
      </c>
      <c r="D1" s="258"/>
      <c r="E1" s="253" t="str">
        <f>[20]Presentacion!C3</f>
        <v>CAMEDUR - IAMPP</v>
      </c>
      <c r="F1" s="253"/>
      <c r="G1" s="136"/>
      <c r="H1" s="3"/>
    </row>
    <row r="2" spans="1:9">
      <c r="B2" s="5"/>
      <c r="C2" s="255" t="s">
        <v>1</v>
      </c>
      <c r="D2" s="258"/>
      <c r="E2" s="253" t="str">
        <f>[20]Presentacion!C4</f>
        <v>Durazno</v>
      </c>
      <c r="F2" s="253"/>
      <c r="G2" s="136"/>
      <c r="H2" s="3"/>
    </row>
    <row r="3" spans="1:9">
      <c r="B3" s="5"/>
      <c r="C3" s="255" t="s">
        <v>2</v>
      </c>
      <c r="D3" s="255"/>
      <c r="E3" s="254" t="s">
        <v>3</v>
      </c>
      <c r="F3" s="254"/>
      <c r="G3" s="136"/>
      <c r="H3" s="3"/>
    </row>
    <row r="4" spans="1:9" ht="11.2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+[20]E.S.P.!D6</f>
        <v>2021</v>
      </c>
      <c r="E6" s="138"/>
      <c r="F6" s="75" t="s">
        <v>8</v>
      </c>
      <c r="G6" s="76">
        <f>+D6</f>
        <v>2021</v>
      </c>
      <c r="H6" s="12"/>
    </row>
    <row r="7" spans="1:9">
      <c r="B7" s="5" t="s">
        <v>9</v>
      </c>
      <c r="C7" s="78" t="s">
        <v>10</v>
      </c>
      <c r="D7" s="79">
        <v>19601893</v>
      </c>
      <c r="E7" s="138" t="s">
        <v>11</v>
      </c>
      <c r="F7" s="80" t="s">
        <v>12</v>
      </c>
      <c r="G7" s="81">
        <v>5605406</v>
      </c>
    </row>
    <row r="8" spans="1:9">
      <c r="B8" s="5" t="s">
        <v>13</v>
      </c>
      <c r="C8" s="78" t="s">
        <v>14</v>
      </c>
      <c r="D8" s="79">
        <v>55193933</v>
      </c>
      <c r="E8" s="138" t="s">
        <v>15</v>
      </c>
      <c r="F8" s="78" t="s">
        <v>16</v>
      </c>
      <c r="G8" s="82">
        <v>0</v>
      </c>
    </row>
    <row r="9" spans="1:9">
      <c r="B9" s="5" t="s">
        <v>17</v>
      </c>
      <c r="C9" s="78" t="s">
        <v>18</v>
      </c>
      <c r="D9" s="79">
        <v>982309498</v>
      </c>
      <c r="E9" s="138" t="s">
        <v>19</v>
      </c>
      <c r="F9" s="78" t="s">
        <v>20</v>
      </c>
      <c r="G9" s="79">
        <v>0</v>
      </c>
    </row>
    <row r="10" spans="1:9">
      <c r="B10" s="5" t="s">
        <v>21</v>
      </c>
      <c r="C10" s="78" t="s">
        <v>22</v>
      </c>
      <c r="D10" s="79">
        <v>96165827</v>
      </c>
      <c r="E10" s="138" t="s">
        <v>23</v>
      </c>
      <c r="F10" s="78" t="s">
        <v>24</v>
      </c>
      <c r="G10" s="79">
        <v>7788163</v>
      </c>
    </row>
    <row r="11" spans="1:9">
      <c r="B11" s="5" t="s">
        <v>25</v>
      </c>
      <c r="C11" s="78" t="s">
        <v>26</v>
      </c>
      <c r="D11" s="79">
        <v>20050525</v>
      </c>
      <c r="E11" s="138" t="s">
        <v>27</v>
      </c>
      <c r="F11" s="78" t="s">
        <v>28</v>
      </c>
      <c r="G11" s="79">
        <f>301207646-5605406</f>
        <v>295602240</v>
      </c>
    </row>
    <row r="12" spans="1:9">
      <c r="B12" s="5" t="s">
        <v>29</v>
      </c>
      <c r="C12" s="78" t="s">
        <v>30</v>
      </c>
      <c r="D12" s="79">
        <v>16247047</v>
      </c>
      <c r="E12" s="138" t="s">
        <v>31</v>
      </c>
      <c r="F12" s="78" t="s">
        <v>32</v>
      </c>
      <c r="G12" s="79">
        <v>71268791</v>
      </c>
    </row>
    <row r="13" spans="1:9">
      <c r="B13" s="5" t="s">
        <v>33</v>
      </c>
      <c r="C13" s="78" t="s">
        <v>34</v>
      </c>
      <c r="D13" s="79">
        <f>3905325</f>
        <v>3905325</v>
      </c>
      <c r="E13" s="138" t="s">
        <v>35</v>
      </c>
      <c r="F13" s="78" t="s">
        <v>36</v>
      </c>
      <c r="G13" s="79">
        <v>0</v>
      </c>
    </row>
    <row r="14" spans="1:9">
      <c r="A14" s="14"/>
      <c r="B14" s="5" t="s">
        <v>37</v>
      </c>
      <c r="C14" s="78" t="s">
        <v>38</v>
      </c>
      <c r="D14" s="79">
        <v>1533377</v>
      </c>
      <c r="E14" s="138" t="s">
        <v>39</v>
      </c>
      <c r="F14" s="78" t="s">
        <v>40</v>
      </c>
      <c r="G14" s="79">
        <v>202670429</v>
      </c>
    </row>
    <row r="15" spans="1:9">
      <c r="B15" s="5" t="s">
        <v>41</v>
      </c>
      <c r="C15" s="83" t="s">
        <v>42</v>
      </c>
      <c r="D15" s="79">
        <v>0</v>
      </c>
      <c r="E15" s="138" t="s">
        <v>43</v>
      </c>
      <c r="F15" s="78" t="s">
        <v>44</v>
      </c>
      <c r="G15" s="79">
        <v>112914689</v>
      </c>
    </row>
    <row r="16" spans="1:9">
      <c r="B16" s="5" t="s">
        <v>45</v>
      </c>
      <c r="C16" s="78" t="s">
        <v>46</v>
      </c>
      <c r="D16" s="79">
        <v>0</v>
      </c>
      <c r="E16" s="138" t="s">
        <v>47</v>
      </c>
      <c r="F16" s="78" t="s">
        <v>48</v>
      </c>
      <c r="G16" s="79">
        <v>62550453</v>
      </c>
    </row>
    <row r="17" spans="1:7">
      <c r="B17" s="5" t="s">
        <v>49</v>
      </c>
      <c r="C17" s="78" t="s">
        <v>50</v>
      </c>
      <c r="D17" s="79">
        <v>0</v>
      </c>
      <c r="E17" s="138" t="s">
        <v>51</v>
      </c>
      <c r="F17" s="78" t="s">
        <v>52</v>
      </c>
      <c r="G17" s="79">
        <v>0</v>
      </c>
    </row>
    <row r="18" spans="1:7">
      <c r="A18" s="14"/>
      <c r="B18" s="5" t="s">
        <v>53</v>
      </c>
      <c r="C18" s="78" t="s">
        <v>54</v>
      </c>
      <c r="D18" s="79">
        <f>9732798+459835+1</f>
        <v>10192634</v>
      </c>
      <c r="E18" s="138" t="s">
        <v>55</v>
      </c>
      <c r="F18" s="78" t="s">
        <v>56</v>
      </c>
      <c r="G18" s="84">
        <v>26611920</v>
      </c>
    </row>
    <row r="19" spans="1:7" ht="16.5" thickBot="1">
      <c r="A19" s="14"/>
      <c r="B19" s="5" t="s">
        <v>57</v>
      </c>
      <c r="C19" s="78" t="s">
        <v>58</v>
      </c>
      <c r="D19" s="79">
        <f>41833525+133932</f>
        <v>41967457</v>
      </c>
      <c r="E19" s="138"/>
      <c r="F19" s="85" t="s">
        <v>59</v>
      </c>
      <c r="G19" s="86">
        <f>SUM(G7:G18)</f>
        <v>785012091</v>
      </c>
    </row>
    <row r="20" spans="1:7" ht="16.5" thickBot="1">
      <c r="B20" s="5"/>
      <c r="C20" s="85" t="s">
        <v>60</v>
      </c>
      <c r="D20" s="86">
        <f>SUM(D7:D19)</f>
        <v>1247167516</v>
      </c>
      <c r="E20" s="138" t="s">
        <v>61</v>
      </c>
      <c r="F20" s="80" t="s">
        <v>62</v>
      </c>
      <c r="G20" s="81">
        <v>263165</v>
      </c>
    </row>
    <row r="21" spans="1:7">
      <c r="B21" s="5"/>
      <c r="C21" s="87" t="s">
        <v>63</v>
      </c>
      <c r="D21" s="88">
        <f>SUM(D22:D28)</f>
        <v>13274797</v>
      </c>
      <c r="E21" s="138" t="s">
        <v>64</v>
      </c>
      <c r="F21" s="78" t="s">
        <v>65</v>
      </c>
      <c r="G21" s="79">
        <f>21274566-263165</f>
        <v>21011401</v>
      </c>
    </row>
    <row r="22" spans="1:7">
      <c r="B22" s="5" t="s">
        <v>66</v>
      </c>
      <c r="C22" s="78" t="s">
        <v>67</v>
      </c>
      <c r="D22" s="79">
        <v>9373496</v>
      </c>
      <c r="E22" s="138" t="s">
        <v>68</v>
      </c>
      <c r="F22" s="78" t="s">
        <v>69</v>
      </c>
      <c r="G22" s="79">
        <v>3012699</v>
      </c>
    </row>
    <row r="23" spans="1:7">
      <c r="B23" s="5" t="s">
        <v>70</v>
      </c>
      <c r="C23" s="78" t="s">
        <v>71</v>
      </c>
      <c r="D23" s="79">
        <v>74005</v>
      </c>
      <c r="E23" s="138" t="s">
        <v>72</v>
      </c>
      <c r="F23" s="78" t="s">
        <v>73</v>
      </c>
      <c r="G23" s="79">
        <v>16167769</v>
      </c>
    </row>
    <row r="24" spans="1:7">
      <c r="B24" s="5" t="s">
        <v>74</v>
      </c>
      <c r="C24" s="78" t="s">
        <v>75</v>
      </c>
      <c r="D24" s="79">
        <v>2296840</v>
      </c>
      <c r="E24" s="138" t="s">
        <v>76</v>
      </c>
      <c r="F24" s="78" t="s">
        <v>77</v>
      </c>
      <c r="G24" s="79">
        <v>8125785</v>
      </c>
    </row>
    <row r="25" spans="1:7">
      <c r="B25" s="5" t="s">
        <v>78</v>
      </c>
      <c r="C25" s="78" t="s">
        <v>79</v>
      </c>
      <c r="D25" s="79">
        <v>384100</v>
      </c>
      <c r="E25" s="138" t="s">
        <v>80</v>
      </c>
      <c r="F25" s="78" t="s">
        <v>81</v>
      </c>
      <c r="G25" s="79">
        <v>5232107</v>
      </c>
    </row>
    <row r="26" spans="1:7">
      <c r="B26" s="5" t="s">
        <v>82</v>
      </c>
      <c r="C26" s="78" t="s">
        <v>83</v>
      </c>
      <c r="D26" s="79">
        <v>707948</v>
      </c>
      <c r="E26" s="138" t="s">
        <v>84</v>
      </c>
      <c r="F26" s="78" t="s">
        <v>85</v>
      </c>
      <c r="G26" s="84">
        <v>1879256</v>
      </c>
    </row>
    <row r="27" spans="1:7" ht="13.5" customHeight="1" thickBot="1">
      <c r="B27" s="5" t="s">
        <v>86</v>
      </c>
      <c r="C27" s="78" t="s">
        <v>87</v>
      </c>
      <c r="D27" s="79">
        <v>0</v>
      </c>
      <c r="E27" s="138"/>
      <c r="F27" s="85" t="s">
        <v>88</v>
      </c>
      <c r="G27" s="86">
        <f>SUM(G20:G26)</f>
        <v>55692182</v>
      </c>
    </row>
    <row r="28" spans="1:7">
      <c r="B28" s="5" t="s">
        <v>89</v>
      </c>
      <c r="C28" s="78" t="s">
        <v>90</v>
      </c>
      <c r="D28" s="79">
        <v>438408</v>
      </c>
      <c r="E28" s="138" t="s">
        <v>91</v>
      </c>
      <c r="F28" s="80" t="s">
        <v>92</v>
      </c>
      <c r="G28" s="81">
        <v>95652928</v>
      </c>
    </row>
    <row r="29" spans="1:7">
      <c r="B29" s="5"/>
      <c r="C29" s="89" t="s">
        <v>93</v>
      </c>
      <c r="D29" s="88">
        <f>SUM(D30:D34)</f>
        <v>86741721</v>
      </c>
      <c r="E29" s="138" t="s">
        <v>94</v>
      </c>
      <c r="F29" s="78" t="s">
        <v>95</v>
      </c>
      <c r="G29" s="79">
        <v>0</v>
      </c>
    </row>
    <row r="30" spans="1:7">
      <c r="B30" s="5" t="s">
        <v>96</v>
      </c>
      <c r="C30" s="78" t="s">
        <v>97</v>
      </c>
      <c r="D30" s="79">
        <v>75972384</v>
      </c>
      <c r="E30" s="138" t="s">
        <v>98</v>
      </c>
      <c r="F30" s="78" t="s">
        <v>99</v>
      </c>
      <c r="G30" s="79">
        <v>2165735</v>
      </c>
    </row>
    <row r="31" spans="1:7">
      <c r="B31" s="5" t="s">
        <v>100</v>
      </c>
      <c r="C31" s="78" t="s">
        <v>101</v>
      </c>
      <c r="D31" s="79">
        <v>4691261</v>
      </c>
      <c r="E31" s="138" t="s">
        <v>102</v>
      </c>
      <c r="F31" s="78" t="s">
        <v>103</v>
      </c>
      <c r="G31" s="84">
        <v>3355569</v>
      </c>
    </row>
    <row r="32" spans="1:7" ht="16.5" thickBot="1">
      <c r="B32" s="5" t="s">
        <v>104</v>
      </c>
      <c r="C32" s="78" t="s">
        <v>105</v>
      </c>
      <c r="D32" s="79">
        <v>3011565</v>
      </c>
      <c r="E32" s="138"/>
      <c r="F32" s="85" t="s">
        <v>106</v>
      </c>
      <c r="G32" s="86">
        <f>SUM(G28:G31)</f>
        <v>101174232</v>
      </c>
    </row>
    <row r="33" spans="2:7">
      <c r="B33" s="5" t="s">
        <v>107</v>
      </c>
      <c r="C33" s="78" t="s">
        <v>108</v>
      </c>
      <c r="D33" s="79">
        <v>237105</v>
      </c>
      <c r="E33" s="138"/>
      <c r="F33" s="89" t="s">
        <v>109</v>
      </c>
      <c r="G33" s="88">
        <f>SUM(G34:G39)</f>
        <v>101796553</v>
      </c>
    </row>
    <row r="34" spans="2:7">
      <c r="B34" s="5" t="s">
        <v>110</v>
      </c>
      <c r="C34" s="78" t="s">
        <v>111</v>
      </c>
      <c r="D34" s="79">
        <v>2829406</v>
      </c>
      <c r="E34" s="138" t="s">
        <v>112</v>
      </c>
      <c r="F34" s="78" t="s">
        <v>113</v>
      </c>
      <c r="G34" s="79">
        <v>7482312</v>
      </c>
    </row>
    <row r="35" spans="2:7" ht="16.5" thickBot="1">
      <c r="B35" s="5"/>
      <c r="C35" s="85" t="s">
        <v>114</v>
      </c>
      <c r="D35" s="86">
        <f>+D21+D29</f>
        <v>100016518</v>
      </c>
      <c r="E35" s="138" t="s">
        <v>115</v>
      </c>
      <c r="F35" s="78" t="s">
        <v>116</v>
      </c>
      <c r="G35" s="79">
        <v>1190009</v>
      </c>
    </row>
    <row r="36" spans="2:7">
      <c r="B36" s="5" t="s">
        <v>117</v>
      </c>
      <c r="C36" s="78" t="s">
        <v>118</v>
      </c>
      <c r="D36" s="79">
        <f>24356935-17761909-190331-719284</f>
        <v>5685411</v>
      </c>
      <c r="E36" s="138" t="s">
        <v>119</v>
      </c>
      <c r="F36" s="78" t="s">
        <v>517</v>
      </c>
      <c r="G36" s="79">
        <v>2041938</v>
      </c>
    </row>
    <row r="37" spans="2:7">
      <c r="B37" s="5" t="s">
        <v>120</v>
      </c>
      <c r="C37" s="78" t="s">
        <v>121</v>
      </c>
      <c r="D37" s="79">
        <v>17761909</v>
      </c>
      <c r="E37" s="138" t="s">
        <v>122</v>
      </c>
      <c r="F37" s="78" t="s">
        <v>123</v>
      </c>
      <c r="G37" s="79">
        <v>5196068</v>
      </c>
    </row>
    <row r="38" spans="2:7">
      <c r="B38" s="5" t="s">
        <v>124</v>
      </c>
      <c r="C38" s="78" t="s">
        <v>125</v>
      </c>
      <c r="D38" s="79">
        <v>0</v>
      </c>
      <c r="E38" s="138" t="s">
        <v>126</v>
      </c>
      <c r="F38" s="78" t="s">
        <v>127</v>
      </c>
      <c r="G38" s="79">
        <v>13009151</v>
      </c>
    </row>
    <row r="39" spans="2:7">
      <c r="B39" s="5" t="s">
        <v>128</v>
      </c>
      <c r="C39" s="78" t="s">
        <v>129</v>
      </c>
      <c r="D39" s="79">
        <v>0</v>
      </c>
      <c r="E39" s="138" t="s">
        <v>130</v>
      </c>
      <c r="F39" s="78" t="s">
        <v>131</v>
      </c>
      <c r="G39" s="79">
        <v>72877075</v>
      </c>
    </row>
    <row r="40" spans="2:7">
      <c r="B40" s="5" t="s">
        <v>132</v>
      </c>
      <c r="C40" s="78" t="s">
        <v>133</v>
      </c>
      <c r="D40" s="79">
        <v>0</v>
      </c>
      <c r="E40" s="138"/>
      <c r="F40" s="90" t="s">
        <v>134</v>
      </c>
      <c r="G40" s="91">
        <f>SUM(G41:G46)</f>
        <v>26917318</v>
      </c>
    </row>
    <row r="41" spans="2:7">
      <c r="B41" s="5" t="s">
        <v>135</v>
      </c>
      <c r="C41" s="78" t="s">
        <v>136</v>
      </c>
      <c r="D41" s="79">
        <v>55956514</v>
      </c>
      <c r="E41" s="138" t="s">
        <v>137</v>
      </c>
      <c r="F41" s="78" t="s">
        <v>138</v>
      </c>
      <c r="G41" s="79">
        <v>4310775</v>
      </c>
    </row>
    <row r="42" spans="2:7">
      <c r="B42" s="5" t="s">
        <v>139</v>
      </c>
      <c r="C42" s="78" t="s">
        <v>140</v>
      </c>
      <c r="D42" s="79">
        <f>136513600-55956513-2321892-1938992</f>
        <v>76296203</v>
      </c>
      <c r="E42" s="138" t="s">
        <v>141</v>
      </c>
      <c r="F42" s="78" t="s">
        <v>142</v>
      </c>
      <c r="G42" s="79"/>
    </row>
    <row r="43" spans="2:7">
      <c r="B43" s="5" t="s">
        <v>143</v>
      </c>
      <c r="C43" s="78" t="s">
        <v>144</v>
      </c>
      <c r="D43" s="79">
        <v>0</v>
      </c>
      <c r="E43" s="138" t="s">
        <v>145</v>
      </c>
      <c r="F43" s="78" t="s">
        <v>146</v>
      </c>
      <c r="G43" s="79">
        <v>2507090</v>
      </c>
    </row>
    <row r="44" spans="2:7">
      <c r="B44" s="5" t="s">
        <v>147</v>
      </c>
      <c r="C44" s="78" t="s">
        <v>148</v>
      </c>
      <c r="D44" s="79">
        <v>0</v>
      </c>
      <c r="E44" s="138" t="s">
        <v>149</v>
      </c>
      <c r="F44" s="78" t="s">
        <v>150</v>
      </c>
      <c r="G44" s="79">
        <v>1676370</v>
      </c>
    </row>
    <row r="45" spans="2:7">
      <c r="B45" s="5" t="s">
        <v>151</v>
      </c>
      <c r="C45" s="78" t="s">
        <v>152</v>
      </c>
      <c r="D45" s="79">
        <v>0</v>
      </c>
      <c r="E45" s="138" t="s">
        <v>153</v>
      </c>
      <c r="F45" s="78" t="s">
        <v>154</v>
      </c>
      <c r="G45" s="79">
        <v>925601</v>
      </c>
    </row>
    <row r="46" spans="2:7">
      <c r="B46" s="5" t="s">
        <v>155</v>
      </c>
      <c r="C46" s="78" t="s">
        <v>156</v>
      </c>
      <c r="D46" s="79">
        <f>2321892+1938992+190331+719284</f>
        <v>5170499</v>
      </c>
      <c r="E46" s="138" t="s">
        <v>157</v>
      </c>
      <c r="F46" s="78" t="s">
        <v>158</v>
      </c>
      <c r="G46" s="79">
        <v>17497482</v>
      </c>
    </row>
    <row r="47" spans="2:7" ht="16.5" thickBot="1">
      <c r="B47" s="5"/>
      <c r="C47" s="85" t="s">
        <v>159</v>
      </c>
      <c r="D47" s="86">
        <f>SUM(D36:D46)</f>
        <v>160870536</v>
      </c>
      <c r="E47" s="138" t="s">
        <v>160</v>
      </c>
      <c r="F47" s="78" t="s">
        <v>161</v>
      </c>
      <c r="G47" s="84">
        <f>3504175+804716</f>
        <v>4308891</v>
      </c>
    </row>
    <row r="48" spans="2:7" ht="16.5" thickBot="1">
      <c r="B48" s="5"/>
      <c r="C48" s="92" t="s">
        <v>162</v>
      </c>
      <c r="D48" s="93"/>
      <c r="E48" s="138"/>
      <c r="F48" s="85" t="s">
        <v>163</v>
      </c>
      <c r="G48" s="94">
        <f>+G33+G40+G47</f>
        <v>133022762</v>
      </c>
    </row>
    <row r="49" spans="2:7">
      <c r="B49" s="5" t="s">
        <v>164</v>
      </c>
      <c r="C49" s="95" t="s">
        <v>165</v>
      </c>
      <c r="D49" s="96">
        <v>0</v>
      </c>
      <c r="E49" s="138" t="s">
        <v>166</v>
      </c>
      <c r="F49" s="80" t="s">
        <v>167</v>
      </c>
      <c r="G49" s="81">
        <v>35505423</v>
      </c>
    </row>
    <row r="50" spans="2:7">
      <c r="B50" s="5" t="s">
        <v>168</v>
      </c>
      <c r="C50" s="78" t="s">
        <v>162</v>
      </c>
      <c r="D50" s="79">
        <f>8619896+320861</f>
        <v>8940757</v>
      </c>
      <c r="E50" s="138" t="s">
        <v>169</v>
      </c>
      <c r="F50" s="78" t="s">
        <v>170</v>
      </c>
      <c r="G50" s="79">
        <v>69699883</v>
      </c>
    </row>
    <row r="51" spans="2:7">
      <c r="B51" s="5" t="s">
        <v>171</v>
      </c>
      <c r="C51" s="78" t="s">
        <v>172</v>
      </c>
      <c r="D51" s="84">
        <v>41860</v>
      </c>
      <c r="E51" s="138" t="s">
        <v>173</v>
      </c>
      <c r="F51" s="78" t="s">
        <v>174</v>
      </c>
      <c r="G51" s="79">
        <v>0</v>
      </c>
    </row>
    <row r="52" spans="2:7" ht="16.5" thickBot="1">
      <c r="B52" s="11"/>
      <c r="C52" s="85" t="s">
        <v>175</v>
      </c>
      <c r="D52" s="86">
        <f>SUM(D49:D51)</f>
        <v>8982617</v>
      </c>
      <c r="E52" s="138" t="s">
        <v>176</v>
      </c>
      <c r="F52" s="78" t="s">
        <v>177</v>
      </c>
      <c r="G52" s="79">
        <v>4614961</v>
      </c>
    </row>
    <row r="53" spans="2:7" ht="16.5" thickBot="1">
      <c r="B53" s="5"/>
      <c r="C53" s="75" t="s">
        <v>178</v>
      </c>
      <c r="D53" s="97">
        <f>D20+D35+D47+D52</f>
        <v>1517037187</v>
      </c>
      <c r="E53" s="138" t="s">
        <v>179</v>
      </c>
      <c r="F53" s="78" t="s">
        <v>180</v>
      </c>
      <c r="G53" s="79">
        <v>6813282</v>
      </c>
    </row>
    <row r="54" spans="2:7">
      <c r="C54" s="98"/>
      <c r="D54" s="99"/>
      <c r="E54" s="138" t="s">
        <v>181</v>
      </c>
      <c r="F54" s="78" t="s">
        <v>182</v>
      </c>
      <c r="G54" s="79">
        <v>3159599</v>
      </c>
    </row>
    <row r="55" spans="2:7">
      <c r="C55" s="100" t="s">
        <v>183</v>
      </c>
      <c r="D55" s="101"/>
      <c r="E55" s="138" t="s">
        <v>184</v>
      </c>
      <c r="F55" s="78" t="s">
        <v>185</v>
      </c>
      <c r="G55" s="79">
        <v>2979783</v>
      </c>
    </row>
    <row r="56" spans="2:7">
      <c r="B56" s="5" t="s">
        <v>186</v>
      </c>
      <c r="C56" s="102" t="s">
        <v>187</v>
      </c>
      <c r="D56" s="79"/>
      <c r="E56" s="138" t="s">
        <v>188</v>
      </c>
      <c r="F56" s="78" t="s">
        <v>189</v>
      </c>
      <c r="G56" s="84">
        <v>4154511</v>
      </c>
    </row>
    <row r="57" spans="2:7" ht="14.25" customHeight="1" thickBot="1">
      <c r="B57" s="5" t="s">
        <v>190</v>
      </c>
      <c r="C57" s="102" t="s">
        <v>191</v>
      </c>
      <c r="D57" s="79"/>
      <c r="E57" s="138"/>
      <c r="F57" s="85" t="s">
        <v>192</v>
      </c>
      <c r="G57" s="86">
        <f>SUM(G49:G56)</f>
        <v>126927442</v>
      </c>
    </row>
    <row r="58" spans="2:7">
      <c r="B58" s="5" t="s">
        <v>193</v>
      </c>
      <c r="C58" s="102" t="s">
        <v>194</v>
      </c>
      <c r="D58" s="79"/>
      <c r="E58" s="138" t="s">
        <v>195</v>
      </c>
      <c r="F58" s="80" t="s">
        <v>196</v>
      </c>
      <c r="G58" s="81">
        <f>7273893+5371556</f>
        <v>12645449</v>
      </c>
    </row>
    <row r="59" spans="2:7">
      <c r="B59" s="5" t="s">
        <v>197</v>
      </c>
      <c r="C59" s="78" t="s">
        <v>198</v>
      </c>
      <c r="D59" s="84"/>
      <c r="E59" s="138" t="s">
        <v>199</v>
      </c>
      <c r="F59" s="78" t="s">
        <v>200</v>
      </c>
      <c r="G59" s="79">
        <v>28011663</v>
      </c>
    </row>
    <row r="60" spans="2:7" ht="16.5" thickBot="1">
      <c r="B60" s="5"/>
      <c r="C60" s="85" t="s">
        <v>201</v>
      </c>
      <c r="D60" s="86">
        <f>SUM(D56:D59)</f>
        <v>0</v>
      </c>
      <c r="E60" s="138" t="s">
        <v>202</v>
      </c>
      <c r="F60" s="78" t="s">
        <v>203</v>
      </c>
      <c r="G60" s="79">
        <v>3969757</v>
      </c>
    </row>
    <row r="61" spans="2:7" ht="16.5" thickBot="1">
      <c r="B61" s="15"/>
      <c r="C61" s="72" t="s">
        <v>204</v>
      </c>
      <c r="D61" s="103">
        <f>D53+D60</f>
        <v>1517037187</v>
      </c>
      <c r="E61" s="138" t="s">
        <v>205</v>
      </c>
      <c r="F61" s="78" t="s">
        <v>206</v>
      </c>
      <c r="G61" s="79">
        <v>15587573</v>
      </c>
    </row>
    <row r="62" spans="2:7">
      <c r="B62" s="16"/>
      <c r="C62" s="116"/>
      <c r="D62" s="116"/>
      <c r="E62" s="138" t="s">
        <v>207</v>
      </c>
      <c r="F62" s="78" t="s">
        <v>208</v>
      </c>
      <c r="G62" s="79">
        <v>0</v>
      </c>
    </row>
    <row r="63" spans="2:7">
      <c r="B63" s="17"/>
      <c r="C63" s="222" t="s">
        <v>8</v>
      </c>
      <c r="D63" s="222"/>
      <c r="E63" s="138" t="s">
        <v>209</v>
      </c>
      <c r="F63" s="78" t="s">
        <v>210</v>
      </c>
      <c r="G63" s="79">
        <v>9171408</v>
      </c>
    </row>
    <row r="64" spans="2:7">
      <c r="B64" s="18" t="s">
        <v>211</v>
      </c>
      <c r="C64" s="223" t="s">
        <v>212</v>
      </c>
      <c r="D64" s="223">
        <f>[20]Amortizaciones!D6</f>
        <v>0</v>
      </c>
      <c r="E64" s="138" t="s">
        <v>213</v>
      </c>
      <c r="F64" s="78" t="s">
        <v>214</v>
      </c>
      <c r="G64" s="79">
        <v>2870516</v>
      </c>
    </row>
    <row r="65" spans="2:7">
      <c r="B65" s="18" t="s">
        <v>215</v>
      </c>
      <c r="C65" s="223" t="s">
        <v>216</v>
      </c>
      <c r="D65" s="223">
        <f>[20]Amortizaciones!D7</f>
        <v>6980764</v>
      </c>
      <c r="E65" s="138" t="s">
        <v>217</v>
      </c>
      <c r="F65" s="78" t="s">
        <v>218</v>
      </c>
      <c r="G65" s="79">
        <v>2024520</v>
      </c>
    </row>
    <row r="66" spans="2:7">
      <c r="B66" s="18" t="s">
        <v>219</v>
      </c>
      <c r="C66" s="223" t="s">
        <v>220</v>
      </c>
      <c r="D66" s="223">
        <f>[20]Amortizaciones!D8</f>
        <v>5056614</v>
      </c>
      <c r="E66" s="138" t="s">
        <v>221</v>
      </c>
      <c r="F66" s="78" t="s">
        <v>222</v>
      </c>
      <c r="G66" s="79">
        <v>9652716</v>
      </c>
    </row>
    <row r="67" spans="2:7">
      <c r="B67" s="18" t="s">
        <v>223</v>
      </c>
      <c r="C67" s="223" t="s">
        <v>224</v>
      </c>
      <c r="D67" s="223">
        <f>[20]Amortizaciones!D9</f>
        <v>405295</v>
      </c>
      <c r="E67" s="138" t="s">
        <v>225</v>
      </c>
      <c r="F67" s="78" t="s">
        <v>226</v>
      </c>
      <c r="G67" s="79">
        <v>858302</v>
      </c>
    </row>
    <row r="68" spans="2:7">
      <c r="B68" s="18" t="s">
        <v>227</v>
      </c>
      <c r="C68" s="223" t="s">
        <v>228</v>
      </c>
      <c r="D68" s="223">
        <f>[20]Amortizaciones!D10</f>
        <v>187697</v>
      </c>
      <c r="E68" s="138" t="s">
        <v>229</v>
      </c>
      <c r="F68" s="78" t="s">
        <v>230</v>
      </c>
      <c r="G68" s="79"/>
    </row>
    <row r="69" spans="2:7">
      <c r="B69" s="18" t="s">
        <v>231</v>
      </c>
      <c r="C69" s="223" t="s">
        <v>232</v>
      </c>
      <c r="D69" s="223">
        <f>[20]Amortizaciones!D11</f>
        <v>909560</v>
      </c>
      <c r="E69" s="138" t="s">
        <v>233</v>
      </c>
      <c r="F69" s="78" t="s">
        <v>234</v>
      </c>
      <c r="G69" s="79">
        <v>794091</v>
      </c>
    </row>
    <row r="70" spans="2:7">
      <c r="B70" s="18" t="s">
        <v>235</v>
      </c>
      <c r="C70" s="223" t="s">
        <v>236</v>
      </c>
      <c r="D70" s="223">
        <f>[20]Amortizaciones!D12</f>
        <v>1714377</v>
      </c>
      <c r="E70" s="138" t="s">
        <v>237</v>
      </c>
      <c r="F70" s="78" t="s">
        <v>238</v>
      </c>
      <c r="G70" s="79">
        <f>671963+1600</f>
        <v>673563</v>
      </c>
    </row>
    <row r="71" spans="2:7">
      <c r="B71" s="18" t="s">
        <v>239</v>
      </c>
      <c r="C71" s="223" t="s">
        <v>240</v>
      </c>
      <c r="D71" s="223">
        <f>[20]Amortizaciones!D13</f>
        <v>3132824</v>
      </c>
      <c r="E71" s="138" t="s">
        <v>241</v>
      </c>
      <c r="F71" s="78" t="s">
        <v>242</v>
      </c>
      <c r="G71" s="79">
        <v>0</v>
      </c>
    </row>
    <row r="72" spans="2:7">
      <c r="B72" s="18" t="s">
        <v>243</v>
      </c>
      <c r="C72" s="223" t="s">
        <v>244</v>
      </c>
      <c r="D72" s="223">
        <f>[20]Amortizaciones!D14</f>
        <v>2326107</v>
      </c>
      <c r="E72" s="138" t="s">
        <v>245</v>
      </c>
      <c r="F72" s="78" t="s">
        <v>246</v>
      </c>
      <c r="G72" s="79">
        <v>0</v>
      </c>
    </row>
    <row r="73" spans="2:7">
      <c r="B73" s="18" t="s">
        <v>247</v>
      </c>
      <c r="C73" s="223" t="s">
        <v>248</v>
      </c>
      <c r="D73" s="223">
        <f>[20]Amortizaciones!D15</f>
        <v>0</v>
      </c>
      <c r="E73" s="138" t="s">
        <v>249</v>
      </c>
      <c r="F73" s="78" t="s">
        <v>250</v>
      </c>
      <c r="G73" s="79">
        <v>0</v>
      </c>
    </row>
    <row r="74" spans="2:7">
      <c r="B74" s="18" t="s">
        <v>251</v>
      </c>
      <c r="C74" s="223" t="s">
        <v>252</v>
      </c>
      <c r="D74" s="223">
        <f>[20]Amortizaciones!D16</f>
        <v>0</v>
      </c>
      <c r="E74" s="138" t="s">
        <v>253</v>
      </c>
      <c r="F74" s="78" t="s">
        <v>254</v>
      </c>
      <c r="G74" s="79">
        <v>0</v>
      </c>
    </row>
    <row r="75" spans="2:7">
      <c r="B75" s="18" t="s">
        <v>255</v>
      </c>
      <c r="C75" s="223" t="s">
        <v>256</v>
      </c>
      <c r="D75" s="223">
        <f>[20]Amortizaciones!D17</f>
        <v>0</v>
      </c>
      <c r="E75" s="138" t="s">
        <v>257</v>
      </c>
      <c r="F75" s="78" t="s">
        <v>258</v>
      </c>
      <c r="G75" s="79">
        <v>83030</v>
      </c>
    </row>
    <row r="76" spans="2:7">
      <c r="B76" s="18" t="s">
        <v>259</v>
      </c>
      <c r="C76" s="223" t="s">
        <v>260</v>
      </c>
      <c r="D76" s="223">
        <f>[20]Amortizaciones!D18</f>
        <v>0</v>
      </c>
      <c r="E76" s="138" t="s">
        <v>261</v>
      </c>
      <c r="F76" s="78" t="s">
        <v>262</v>
      </c>
      <c r="G76" s="79">
        <v>18125675</v>
      </c>
    </row>
    <row r="77" spans="2:7">
      <c r="B77" s="18" t="s">
        <v>263</v>
      </c>
      <c r="C77" s="223" t="s">
        <v>264</v>
      </c>
      <c r="D77" s="223">
        <f>SUM(D64:D76)</f>
        <v>20713238</v>
      </c>
      <c r="E77" s="138" t="s">
        <v>265</v>
      </c>
      <c r="F77" s="78" t="s">
        <v>266</v>
      </c>
      <c r="G77" s="79">
        <f>6932003+1067514+1016569+1</f>
        <v>9016087</v>
      </c>
    </row>
    <row r="78" spans="2:7">
      <c r="B78" s="18"/>
      <c r="C78" s="223"/>
      <c r="D78" s="223"/>
      <c r="E78" s="138" t="s">
        <v>267</v>
      </c>
      <c r="F78" s="78" t="s">
        <v>268</v>
      </c>
      <c r="G78" s="84">
        <v>3930932</v>
      </c>
    </row>
    <row r="79" spans="2:7" ht="16.5" thickBot="1">
      <c r="B79" s="18"/>
      <c r="C79" s="222" t="s">
        <v>269</v>
      </c>
      <c r="D79" s="224"/>
      <c r="E79" s="138"/>
      <c r="F79" s="85" t="s">
        <v>270</v>
      </c>
      <c r="G79" s="86">
        <f>SUM(G58:G78)</f>
        <v>117415282</v>
      </c>
    </row>
    <row r="80" spans="2:7">
      <c r="B80" s="18" t="s">
        <v>271</v>
      </c>
      <c r="C80" s="223" t="s">
        <v>236</v>
      </c>
      <c r="D80" s="223">
        <f>[20]Amortizaciones!D22</f>
        <v>734733</v>
      </c>
      <c r="E80" s="138" t="s">
        <v>272</v>
      </c>
      <c r="F80" s="80" t="s">
        <v>273</v>
      </c>
      <c r="G80" s="81">
        <v>0</v>
      </c>
    </row>
    <row r="81" spans="2:7">
      <c r="B81" s="18" t="s">
        <v>274</v>
      </c>
      <c r="C81" s="223" t="s">
        <v>240</v>
      </c>
      <c r="D81" s="223">
        <f>[20]Amortizaciones!D23</f>
        <v>0</v>
      </c>
      <c r="E81" s="138" t="s">
        <v>275</v>
      </c>
      <c r="F81" s="78" t="s">
        <v>276</v>
      </c>
      <c r="G81" s="79">
        <v>9854311</v>
      </c>
    </row>
    <row r="82" spans="2:7">
      <c r="B82" s="18" t="s">
        <v>277</v>
      </c>
      <c r="C82" s="223" t="s">
        <v>244</v>
      </c>
      <c r="D82" s="223">
        <f>[20]Amortizaciones!D24</f>
        <v>0</v>
      </c>
      <c r="E82" s="138" t="s">
        <v>278</v>
      </c>
      <c r="F82" s="78" t="s">
        <v>279</v>
      </c>
      <c r="G82" s="79">
        <v>2904544</v>
      </c>
    </row>
    <row r="83" spans="2:7">
      <c r="B83" s="18" t="s">
        <v>280</v>
      </c>
      <c r="C83" s="223" t="s">
        <v>248</v>
      </c>
      <c r="D83" s="223">
        <f>[20]Amortizaciones!D25</f>
        <v>0</v>
      </c>
      <c r="E83" s="138" t="s">
        <v>281</v>
      </c>
      <c r="F83" s="78" t="s">
        <v>282</v>
      </c>
      <c r="G83" s="79">
        <v>3941814</v>
      </c>
    </row>
    <row r="84" spans="2:7">
      <c r="B84" s="18" t="s">
        <v>283</v>
      </c>
      <c r="C84" s="223" t="s">
        <v>284</v>
      </c>
      <c r="D84" s="223">
        <v>0</v>
      </c>
      <c r="E84" s="138" t="s">
        <v>285</v>
      </c>
      <c r="F84" s="78" t="s">
        <v>286</v>
      </c>
      <c r="G84" s="79">
        <v>7089420</v>
      </c>
    </row>
    <row r="85" spans="2:7">
      <c r="B85" s="18" t="s">
        <v>287</v>
      </c>
      <c r="C85" s="223" t="s">
        <v>288</v>
      </c>
      <c r="D85" s="223">
        <f>[20]Amortizaciones!D27</f>
        <v>0</v>
      </c>
      <c r="E85" s="138" t="s">
        <v>289</v>
      </c>
      <c r="F85" s="78" t="s">
        <v>290</v>
      </c>
      <c r="G85" s="79">
        <v>1237120</v>
      </c>
    </row>
    <row r="86" spans="2:7" ht="13.5" customHeight="1">
      <c r="B86" s="18" t="s">
        <v>291</v>
      </c>
      <c r="C86" s="223" t="s">
        <v>292</v>
      </c>
      <c r="D86" s="223">
        <f>[20]Amortizaciones!D28</f>
        <v>0</v>
      </c>
      <c r="E86" s="138" t="s">
        <v>293</v>
      </c>
      <c r="F86" s="78" t="s">
        <v>294</v>
      </c>
      <c r="G86" s="79">
        <v>1420879</v>
      </c>
    </row>
    <row r="87" spans="2:7" ht="13.5" customHeight="1">
      <c r="B87" s="18" t="s">
        <v>295</v>
      </c>
      <c r="C87" s="223" t="s">
        <v>296</v>
      </c>
      <c r="D87" s="223">
        <f>[20]Amortizaciones!D29</f>
        <v>0</v>
      </c>
      <c r="E87" s="138" t="s">
        <v>297</v>
      </c>
      <c r="F87" s="78" t="s">
        <v>298</v>
      </c>
      <c r="G87" s="79">
        <f>1169622+3532702</f>
        <v>4702324</v>
      </c>
    </row>
    <row r="88" spans="2:7" ht="13.5" customHeight="1">
      <c r="B88" s="18" t="s">
        <v>299</v>
      </c>
      <c r="C88" s="223" t="s">
        <v>300</v>
      </c>
      <c r="D88" s="223">
        <f>[20]Amortizaciones!D30</f>
        <v>0</v>
      </c>
      <c r="E88" s="138" t="s">
        <v>301</v>
      </c>
      <c r="F88" s="78" t="s">
        <v>302</v>
      </c>
      <c r="G88" s="79">
        <v>3752935</v>
      </c>
    </row>
    <row r="89" spans="2:7">
      <c r="B89" s="18" t="s">
        <v>303</v>
      </c>
      <c r="C89" s="223" t="s">
        <v>212</v>
      </c>
      <c r="D89" s="223">
        <f>[20]Amortizaciones!D31</f>
        <v>314875</v>
      </c>
      <c r="E89" s="138" t="s">
        <v>304</v>
      </c>
      <c r="F89" s="78" t="s">
        <v>305</v>
      </c>
      <c r="G89" s="79">
        <v>0</v>
      </c>
    </row>
    <row r="90" spans="2:7" ht="14.25" customHeight="1">
      <c r="B90" s="18" t="s">
        <v>306</v>
      </c>
      <c r="C90" s="223" t="s">
        <v>228</v>
      </c>
      <c r="D90" s="223">
        <f>[20]Amortizaciones!D32</f>
        <v>0</v>
      </c>
      <c r="E90" s="138" t="s">
        <v>307</v>
      </c>
      <c r="F90" s="78" t="s">
        <v>308</v>
      </c>
      <c r="G90" s="79">
        <v>1322406</v>
      </c>
    </row>
    <row r="91" spans="2:7" ht="14.25" customHeight="1">
      <c r="B91" s="18" t="s">
        <v>309</v>
      </c>
      <c r="C91" s="223" t="s">
        <v>310</v>
      </c>
      <c r="D91" s="223">
        <f>SUM(D80:D90)</f>
        <v>1049608</v>
      </c>
      <c r="E91" s="225" t="s">
        <v>311</v>
      </c>
      <c r="F91" s="78" t="s">
        <v>312</v>
      </c>
      <c r="G91" s="79">
        <f>793806+2899200</f>
        <v>3693006</v>
      </c>
    </row>
    <row r="92" spans="2:7" ht="14.25" customHeight="1">
      <c r="B92" s="18"/>
      <c r="C92" s="226" t="s">
        <v>313</v>
      </c>
      <c r="D92" s="223">
        <f>D77+D91</f>
        <v>21762846</v>
      </c>
      <c r="E92" s="225" t="s">
        <v>314</v>
      </c>
      <c r="F92" s="78" t="s">
        <v>315</v>
      </c>
      <c r="G92" s="79">
        <v>0</v>
      </c>
    </row>
    <row r="93" spans="2:7">
      <c r="C93" s="116"/>
      <c r="D93" s="116"/>
      <c r="E93" s="225" t="s">
        <v>316</v>
      </c>
      <c r="F93" s="78" t="s">
        <v>317</v>
      </c>
      <c r="G93" s="79">
        <f>438578+5378062</f>
        <v>5816640</v>
      </c>
    </row>
    <row r="94" spans="2:7">
      <c r="C94" s="116"/>
      <c r="D94" s="116"/>
      <c r="E94" s="225" t="s">
        <v>318</v>
      </c>
      <c r="F94" s="78" t="s">
        <v>319</v>
      </c>
      <c r="G94" s="84">
        <v>1490740</v>
      </c>
    </row>
    <row r="95" spans="2:7" ht="13.5" customHeight="1" thickBot="1">
      <c r="C95" s="116"/>
      <c r="D95" s="116"/>
      <c r="E95" s="138"/>
      <c r="F95" s="85" t="s">
        <v>320</v>
      </c>
      <c r="G95" s="86">
        <f>SUM(G80:G94)</f>
        <v>47226139</v>
      </c>
    </row>
    <row r="96" spans="2:7">
      <c r="C96" s="116"/>
      <c r="D96" s="116"/>
      <c r="E96" s="225" t="s">
        <v>321</v>
      </c>
      <c r="F96" s="80" t="s">
        <v>322</v>
      </c>
      <c r="G96" s="81">
        <v>12092613</v>
      </c>
    </row>
    <row r="97" spans="2:7">
      <c r="C97" s="116"/>
      <c r="D97" s="116"/>
      <c r="E97" s="225" t="s">
        <v>323</v>
      </c>
      <c r="F97" s="78" t="s">
        <v>324</v>
      </c>
      <c r="G97" s="79">
        <v>5232245</v>
      </c>
    </row>
    <row r="98" spans="2:7">
      <c r="C98" s="116"/>
      <c r="D98" s="116"/>
      <c r="E98" s="225" t="s">
        <v>325</v>
      </c>
      <c r="F98" s="78" t="s">
        <v>326</v>
      </c>
      <c r="G98" s="79">
        <v>1272031</v>
      </c>
    </row>
    <row r="99" spans="2:7">
      <c r="C99" s="116"/>
      <c r="D99" s="116"/>
      <c r="E99" s="225" t="s">
        <v>327</v>
      </c>
      <c r="F99" s="78" t="s">
        <v>328</v>
      </c>
      <c r="G99" s="79">
        <v>6061323</v>
      </c>
    </row>
    <row r="100" spans="2:7">
      <c r="C100" s="116"/>
      <c r="D100" s="116"/>
      <c r="E100" s="225" t="s">
        <v>329</v>
      </c>
      <c r="F100" s="78" t="s">
        <v>330</v>
      </c>
      <c r="G100" s="84">
        <v>826231</v>
      </c>
    </row>
    <row r="101" spans="2:7" ht="12.75" customHeight="1" thickBot="1">
      <c r="C101" s="116"/>
      <c r="D101" s="116"/>
      <c r="E101" s="138"/>
      <c r="F101" s="85" t="s">
        <v>331</v>
      </c>
      <c r="G101" s="86">
        <f>SUM(G96:G100)</f>
        <v>25484443</v>
      </c>
    </row>
    <row r="102" spans="2:7" ht="12.75" customHeight="1" thickBot="1">
      <c r="C102" s="116"/>
      <c r="D102" s="116"/>
      <c r="E102" s="225"/>
      <c r="F102" s="110" t="s">
        <v>332</v>
      </c>
      <c r="G102" s="111">
        <f>[20]Amortizaciones!D19</f>
        <v>20713238</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1412667811</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104369376</v>
      </c>
    </row>
    <row r="110" spans="2:7" ht="6.75" customHeight="1" thickBot="1">
      <c r="B110" s="5"/>
      <c r="C110" s="227"/>
      <c r="D110" s="227"/>
      <c r="E110" s="138"/>
      <c r="F110" s="116"/>
      <c r="G110" s="116"/>
    </row>
    <row r="111" spans="2:7" ht="15" customHeight="1" thickBot="1">
      <c r="C111" s="72" t="s">
        <v>269</v>
      </c>
      <c r="D111" s="118">
        <f>+[20]E.S.P.!D6</f>
        <v>2021</v>
      </c>
      <c r="E111" s="225"/>
      <c r="F111" s="72" t="s">
        <v>340</v>
      </c>
      <c r="G111" s="118">
        <f>+[20]E.S.P.!D6</f>
        <v>2021</v>
      </c>
    </row>
    <row r="112" spans="2:7" ht="13.7" customHeight="1">
      <c r="B112" s="5" t="s">
        <v>341</v>
      </c>
      <c r="C112" s="119" t="s">
        <v>342</v>
      </c>
      <c r="D112" s="120">
        <v>2710461</v>
      </c>
      <c r="E112" s="138" t="s">
        <v>343</v>
      </c>
      <c r="F112" s="119" t="s">
        <v>308</v>
      </c>
      <c r="G112" s="120">
        <f>1483234-6773</f>
        <v>1476461</v>
      </c>
    </row>
    <row r="113" spans="2:7" ht="13.7" customHeight="1">
      <c r="B113" s="5" t="s">
        <v>344</v>
      </c>
      <c r="C113" s="121" t="s">
        <v>345</v>
      </c>
      <c r="D113" s="122">
        <v>30397929</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117484</v>
      </c>
      <c r="E115" s="138" t="s">
        <v>353</v>
      </c>
      <c r="F115" s="121" t="s">
        <v>354</v>
      </c>
      <c r="G115" s="122">
        <v>0</v>
      </c>
    </row>
    <row r="116" spans="2:7" ht="13.7" customHeight="1">
      <c r="B116" s="5" t="s">
        <v>355</v>
      </c>
      <c r="C116" s="121" t="s">
        <v>356</v>
      </c>
      <c r="D116" s="122">
        <f>1215605+1607619</f>
        <v>2823224</v>
      </c>
      <c r="E116" s="138" t="s">
        <v>357</v>
      </c>
      <c r="F116" s="121" t="s">
        <v>358</v>
      </c>
      <c r="G116" s="122">
        <v>451643</v>
      </c>
    </row>
    <row r="117" spans="2:7" ht="13.7" customHeight="1">
      <c r="B117" s="5" t="s">
        <v>359</v>
      </c>
      <c r="C117" s="121" t="s">
        <v>360</v>
      </c>
      <c r="D117" s="122">
        <v>0</v>
      </c>
      <c r="E117" s="138" t="s">
        <v>361</v>
      </c>
      <c r="F117" s="121" t="s">
        <v>362</v>
      </c>
      <c r="G117" s="122">
        <v>2196522</v>
      </c>
    </row>
    <row r="118" spans="2:7" ht="13.7" customHeight="1">
      <c r="B118" s="5" t="s">
        <v>363</v>
      </c>
      <c r="C118" s="121" t="s">
        <v>364</v>
      </c>
      <c r="D118" s="122">
        <v>0</v>
      </c>
      <c r="E118" s="138" t="s">
        <v>365</v>
      </c>
      <c r="F118" s="121" t="s">
        <v>366</v>
      </c>
      <c r="G118" s="122">
        <v>0</v>
      </c>
    </row>
    <row r="119" spans="2:7" ht="13.7" customHeight="1">
      <c r="B119" s="5" t="s">
        <v>367</v>
      </c>
      <c r="C119" s="121" t="s">
        <v>368</v>
      </c>
      <c r="D119" s="122">
        <v>1071636</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f>1250262+143425</f>
        <v>1393687</v>
      </c>
      <c r="E121" s="138" t="s">
        <v>377</v>
      </c>
      <c r="F121" s="121" t="s">
        <v>378</v>
      </c>
      <c r="G121" s="122">
        <v>0</v>
      </c>
    </row>
    <row r="122" spans="2:7" ht="13.7" customHeight="1" thickBot="1">
      <c r="B122" s="5"/>
      <c r="C122" s="85" t="s">
        <v>379</v>
      </c>
      <c r="D122" s="94">
        <f>SUM(D112:D121)</f>
        <v>38514421</v>
      </c>
      <c r="E122" s="138" t="s">
        <v>380</v>
      </c>
      <c r="F122" s="78" t="s">
        <v>381</v>
      </c>
      <c r="G122" s="79">
        <v>106006</v>
      </c>
    </row>
    <row r="123" spans="2:7" ht="13.7" customHeight="1" thickBot="1">
      <c r="B123" s="5" t="s">
        <v>382</v>
      </c>
      <c r="C123" s="123" t="s">
        <v>308</v>
      </c>
      <c r="D123" s="120">
        <v>0</v>
      </c>
      <c r="E123" s="225"/>
      <c r="F123" s="85" t="s">
        <v>383</v>
      </c>
      <c r="G123" s="94">
        <f>SUM(G112:G122)</f>
        <v>4230632</v>
      </c>
    </row>
    <row r="124" spans="2:7" ht="13.7" customHeight="1">
      <c r="B124" s="5" t="s">
        <v>384</v>
      </c>
      <c r="C124" s="121" t="s">
        <v>312</v>
      </c>
      <c r="D124" s="122">
        <v>54652</v>
      </c>
      <c r="E124" s="138" t="s">
        <v>385</v>
      </c>
      <c r="F124" s="121" t="s">
        <v>386</v>
      </c>
      <c r="G124" s="122">
        <v>0</v>
      </c>
    </row>
    <row r="125" spans="2:7" ht="13.7" customHeight="1">
      <c r="B125" s="5" t="s">
        <v>387</v>
      </c>
      <c r="C125" s="78" t="s">
        <v>388</v>
      </c>
      <c r="D125" s="122">
        <v>15345</v>
      </c>
      <c r="E125" s="138" t="s">
        <v>389</v>
      </c>
      <c r="F125" s="121" t="s">
        <v>390</v>
      </c>
      <c r="G125" s="122">
        <v>381108</v>
      </c>
    </row>
    <row r="126" spans="2:7" ht="13.7" customHeight="1" thickBot="1">
      <c r="B126" s="5"/>
      <c r="C126" s="85" t="s">
        <v>391</v>
      </c>
      <c r="D126" s="94">
        <f>SUM(D123:D125)</f>
        <v>69997</v>
      </c>
      <c r="E126" s="138" t="s">
        <v>392</v>
      </c>
      <c r="F126" s="121" t="s">
        <v>393</v>
      </c>
      <c r="G126" s="122">
        <v>0</v>
      </c>
    </row>
    <row r="127" spans="2:7" ht="13.7" customHeight="1">
      <c r="B127" s="5" t="s">
        <v>394</v>
      </c>
      <c r="C127" s="119" t="s">
        <v>273</v>
      </c>
      <c r="D127" s="120">
        <v>6518060</v>
      </c>
      <c r="E127" s="138" t="s">
        <v>395</v>
      </c>
      <c r="F127" s="121" t="s">
        <v>396</v>
      </c>
      <c r="G127" s="122">
        <v>0</v>
      </c>
    </row>
    <row r="128" spans="2:7" ht="13.7" customHeight="1">
      <c r="B128" s="5" t="s">
        <v>397</v>
      </c>
      <c r="C128" s="121" t="s">
        <v>398</v>
      </c>
      <c r="D128" s="122">
        <f>724801+1344516</f>
        <v>2069317</v>
      </c>
      <c r="E128" s="138" t="s">
        <v>399</v>
      </c>
      <c r="F128" s="121" t="s">
        <v>400</v>
      </c>
      <c r="G128" s="122">
        <v>1377153</v>
      </c>
    </row>
    <row r="129" spans="2:7" ht="13.7" customHeight="1">
      <c r="B129" s="5" t="s">
        <v>401</v>
      </c>
      <c r="C129" s="121" t="s">
        <v>276</v>
      </c>
      <c r="D129" s="122">
        <v>557233</v>
      </c>
      <c r="E129" s="138" t="s">
        <v>402</v>
      </c>
      <c r="F129" s="121" t="s">
        <v>403</v>
      </c>
      <c r="G129" s="122">
        <v>0</v>
      </c>
    </row>
    <row r="130" spans="2:7" ht="13.7" customHeight="1">
      <c r="B130" s="5" t="s">
        <v>404</v>
      </c>
      <c r="C130" s="121" t="s">
        <v>282</v>
      </c>
      <c r="D130" s="122">
        <v>640739</v>
      </c>
      <c r="E130" s="138" t="s">
        <v>405</v>
      </c>
      <c r="F130" s="121" t="s">
        <v>406</v>
      </c>
      <c r="G130" s="122">
        <v>0</v>
      </c>
    </row>
    <row r="131" spans="2:7" ht="13.7" customHeight="1">
      <c r="B131" s="5" t="s">
        <v>407</v>
      </c>
      <c r="C131" s="121" t="s">
        <v>286</v>
      </c>
      <c r="D131" s="122">
        <v>1691310</v>
      </c>
      <c r="E131" s="138" t="s">
        <v>408</v>
      </c>
      <c r="F131" s="121" t="s">
        <v>409</v>
      </c>
      <c r="G131" s="122">
        <v>643328</v>
      </c>
    </row>
    <row r="132" spans="2:7" ht="13.7" customHeight="1">
      <c r="B132" s="5" t="s">
        <v>410</v>
      </c>
      <c r="C132" s="121" t="s">
        <v>290</v>
      </c>
      <c r="D132" s="122">
        <v>832078</v>
      </c>
      <c r="E132" s="138" t="s">
        <v>411</v>
      </c>
      <c r="F132" s="121" t="s">
        <v>412</v>
      </c>
      <c r="G132" s="122">
        <v>0</v>
      </c>
    </row>
    <row r="133" spans="2:7" ht="13.7" customHeight="1">
      <c r="B133" s="5" t="s">
        <v>413</v>
      </c>
      <c r="C133" s="121" t="s">
        <v>294</v>
      </c>
      <c r="D133" s="122">
        <v>62590</v>
      </c>
      <c r="E133" s="138" t="s">
        <v>414</v>
      </c>
      <c r="F133" s="121" t="s">
        <v>415</v>
      </c>
      <c r="G133" s="122">
        <v>0</v>
      </c>
    </row>
    <row r="134" spans="2:7" ht="13.7" customHeight="1">
      <c r="B134" s="5" t="s">
        <v>416</v>
      </c>
      <c r="C134" s="121" t="s">
        <v>417</v>
      </c>
      <c r="D134" s="122">
        <v>2531435</v>
      </c>
      <c r="E134" s="138" t="s">
        <v>418</v>
      </c>
      <c r="F134" s="121" t="s">
        <v>419</v>
      </c>
      <c r="G134" s="122">
        <v>219654</v>
      </c>
    </row>
    <row r="135" spans="2:7" ht="13.7" customHeight="1">
      <c r="B135" s="5" t="s">
        <v>420</v>
      </c>
      <c r="C135" s="121" t="s">
        <v>421</v>
      </c>
      <c r="D135" s="122">
        <v>2355136</v>
      </c>
      <c r="E135" s="138" t="s">
        <v>422</v>
      </c>
      <c r="F135" s="121" t="s">
        <v>423</v>
      </c>
      <c r="G135" s="122">
        <v>0</v>
      </c>
    </row>
    <row r="136" spans="2:7" ht="13.7" customHeight="1">
      <c r="B136" s="5" t="s">
        <v>424</v>
      </c>
      <c r="C136" s="121" t="s">
        <v>317</v>
      </c>
      <c r="D136" s="122">
        <f>1108397+1976992+10608956+944854+3405582+415100</f>
        <v>18459881</v>
      </c>
      <c r="E136" s="138" t="s">
        <v>425</v>
      </c>
      <c r="F136" s="121" t="s">
        <v>426</v>
      </c>
      <c r="G136" s="122">
        <v>204110</v>
      </c>
    </row>
    <row r="137" spans="2:7" ht="13.7" customHeight="1">
      <c r="B137" s="5" t="s">
        <v>427</v>
      </c>
      <c r="C137" s="78" t="s">
        <v>319</v>
      </c>
      <c r="D137" s="124">
        <f>214366+1020252</f>
        <v>1234618</v>
      </c>
      <c r="E137" s="138" t="s">
        <v>428</v>
      </c>
      <c r="F137" s="121" t="s">
        <v>429</v>
      </c>
      <c r="G137" s="122">
        <v>5063799</v>
      </c>
    </row>
    <row r="138" spans="2:7" ht="13.7" customHeight="1" thickBot="1">
      <c r="B138" s="5"/>
      <c r="C138" s="85" t="s">
        <v>320</v>
      </c>
      <c r="D138" s="94">
        <f>SUM(D127:D137)</f>
        <v>36952397</v>
      </c>
      <c r="E138" s="138" t="s">
        <v>430</v>
      </c>
      <c r="F138" s="78" t="s">
        <v>431</v>
      </c>
      <c r="G138" s="79">
        <v>221605</v>
      </c>
    </row>
    <row r="139" spans="2:7" ht="13.7" customHeight="1" thickBot="1">
      <c r="B139" s="5" t="s">
        <v>432</v>
      </c>
      <c r="C139" s="119" t="s">
        <v>326</v>
      </c>
      <c r="D139" s="120">
        <v>0</v>
      </c>
      <c r="E139" s="228"/>
      <c r="F139" s="85" t="s">
        <v>433</v>
      </c>
      <c r="G139" s="94">
        <f>SUM(G124:G138)</f>
        <v>8110757</v>
      </c>
    </row>
    <row r="140" spans="2:7" ht="13.7" customHeight="1" thickBot="1">
      <c r="B140" s="5" t="s">
        <v>434</v>
      </c>
      <c r="C140" s="121" t="s">
        <v>328</v>
      </c>
      <c r="D140" s="122">
        <f>2459+955469</f>
        <v>957928</v>
      </c>
      <c r="E140" s="228"/>
      <c r="F140" s="110" t="s">
        <v>435</v>
      </c>
      <c r="G140" s="126">
        <f>G123-G139</f>
        <v>-3880125</v>
      </c>
    </row>
    <row r="141" spans="2:7" ht="13.7" customHeight="1">
      <c r="B141" s="5" t="s">
        <v>436</v>
      </c>
      <c r="C141" s="78" t="s">
        <v>330</v>
      </c>
      <c r="D141" s="124">
        <v>32034</v>
      </c>
      <c r="E141" s="229"/>
      <c r="F141" s="116"/>
      <c r="G141" s="116"/>
    </row>
    <row r="142" spans="2:7" ht="13.7" customHeight="1" thickBot="1">
      <c r="B142" s="5"/>
      <c r="C142" s="85" t="s">
        <v>331</v>
      </c>
      <c r="D142" s="94">
        <f>SUM(D139:D141)</f>
        <v>989962</v>
      </c>
      <c r="E142" s="229"/>
      <c r="F142" s="116"/>
      <c r="G142" s="116"/>
    </row>
    <row r="143" spans="2:7" ht="13.5" customHeight="1" thickBot="1">
      <c r="B143" s="5"/>
      <c r="C143" s="110" t="s">
        <v>332</v>
      </c>
      <c r="D143" s="126">
        <f>[20]Amortizaciones!D33</f>
        <v>1049608</v>
      </c>
      <c r="E143" s="138"/>
      <c r="F143" s="72" t="s">
        <v>437</v>
      </c>
      <c r="G143" s="118">
        <f>+[20]E.S.P.!D6</f>
        <v>2021</v>
      </c>
    </row>
    <row r="144" spans="2:7" ht="13.7" customHeight="1">
      <c r="B144" s="5" t="s">
        <v>438</v>
      </c>
      <c r="C144" s="119" t="s">
        <v>439</v>
      </c>
      <c r="D144" s="120">
        <v>2271632</v>
      </c>
      <c r="E144" s="138" t="s">
        <v>440</v>
      </c>
      <c r="F144" s="119" t="s">
        <v>441</v>
      </c>
      <c r="G144" s="120">
        <f>64641+12669088</f>
        <v>12733729</v>
      </c>
    </row>
    <row r="145" spans="2:7" ht="13.7" customHeight="1">
      <c r="B145" s="5" t="s">
        <v>442</v>
      </c>
      <c r="C145" s="121" t="s">
        <v>443</v>
      </c>
      <c r="D145" s="122">
        <v>611644</v>
      </c>
      <c r="E145" s="138" t="s">
        <v>444</v>
      </c>
      <c r="F145" s="121" t="s">
        <v>445</v>
      </c>
      <c r="G145" s="122">
        <v>4152688</v>
      </c>
    </row>
    <row r="146" spans="2:7" ht="13.7" customHeight="1">
      <c r="B146" s="5" t="s">
        <v>446</v>
      </c>
      <c r="C146" s="128" t="s">
        <v>447</v>
      </c>
      <c r="D146" s="122">
        <v>0</v>
      </c>
      <c r="E146" s="138" t="s">
        <v>448</v>
      </c>
      <c r="F146" s="121" t="s">
        <v>449</v>
      </c>
      <c r="G146" s="122">
        <v>7523841</v>
      </c>
    </row>
    <row r="147" spans="2:7" ht="13.7" customHeight="1">
      <c r="B147" s="5" t="s">
        <v>450</v>
      </c>
      <c r="C147" s="78" t="s">
        <v>451</v>
      </c>
      <c r="D147" s="124">
        <v>46500</v>
      </c>
      <c r="E147" s="138" t="s">
        <v>452</v>
      </c>
      <c r="F147" s="121" t="s">
        <v>453</v>
      </c>
      <c r="G147" s="122">
        <v>0</v>
      </c>
    </row>
    <row r="148" spans="2:7" ht="13.7" customHeight="1" thickBot="1">
      <c r="B148" s="5"/>
      <c r="C148" s="85" t="s">
        <v>518</v>
      </c>
      <c r="D148" s="94">
        <f>SUM(D144:D147)</f>
        <v>2929776</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0</v>
      </c>
    </row>
    <row r="152" spans="2:7" ht="13.7" customHeight="1" thickBot="1">
      <c r="B152" s="5"/>
      <c r="C152" s="85" t="s">
        <v>516</v>
      </c>
      <c r="D152" s="94">
        <f>SUM(D149:D151)</f>
        <v>0</v>
      </c>
      <c r="E152" s="138" t="s">
        <v>469</v>
      </c>
      <c r="F152" s="121" t="s">
        <v>470</v>
      </c>
      <c r="G152" s="122">
        <v>0</v>
      </c>
    </row>
    <row r="153" spans="2:7" ht="15" customHeight="1" thickBot="1">
      <c r="B153" s="5"/>
      <c r="C153" s="110" t="s">
        <v>471</v>
      </c>
      <c r="D153" s="129">
        <f>D122+D126+D138+D142+D143+D148+D152</f>
        <v>80506161</v>
      </c>
      <c r="E153" s="138" t="s">
        <v>472</v>
      </c>
      <c r="F153" s="78" t="s">
        <v>473</v>
      </c>
      <c r="G153" s="79">
        <v>582184</v>
      </c>
    </row>
    <row r="154" spans="2:7" ht="13.7" customHeight="1" thickBot="1">
      <c r="B154" s="5"/>
      <c r="C154" s="116"/>
      <c r="D154" s="116"/>
      <c r="E154" s="138"/>
      <c r="F154" s="85" t="s">
        <v>474</v>
      </c>
      <c r="G154" s="94">
        <f>SUM(G144:G153)</f>
        <v>24992442</v>
      </c>
    </row>
    <row r="155" spans="2:7" ht="13.5" customHeight="1" thickBot="1">
      <c r="B155" s="5"/>
      <c r="C155" s="72" t="s">
        <v>475</v>
      </c>
      <c r="D155" s="103">
        <f>G109-D153</f>
        <v>23863215</v>
      </c>
      <c r="E155" s="138" t="s">
        <v>476</v>
      </c>
      <c r="F155" s="119" t="s">
        <v>477</v>
      </c>
      <c r="G155" s="120">
        <v>0</v>
      </c>
    </row>
    <row r="156" spans="2:7" ht="13.7" customHeight="1">
      <c r="C156" s="116"/>
      <c r="D156" s="116"/>
      <c r="E156" s="138" t="s">
        <v>478</v>
      </c>
      <c r="F156" s="121" t="s">
        <v>479</v>
      </c>
      <c r="G156" s="122">
        <f>31025+601047</f>
        <v>632072</v>
      </c>
    </row>
    <row r="157" spans="2:7" ht="13.7" customHeight="1">
      <c r="C157" s="116"/>
      <c r="D157" s="116"/>
      <c r="E157" s="138" t="s">
        <v>480</v>
      </c>
      <c r="F157" s="121" t="s">
        <v>481</v>
      </c>
      <c r="G157" s="122">
        <f>4516058+5108960</f>
        <v>9625018</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14754</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15848654</v>
      </c>
    </row>
    <row r="166" spans="3:7" ht="13.7" customHeight="1">
      <c r="C166" s="116"/>
      <c r="D166" s="116"/>
      <c r="E166" s="138" t="s">
        <v>498</v>
      </c>
      <c r="F166" s="121" t="s">
        <v>499</v>
      </c>
      <c r="G166" s="122">
        <v>533253</v>
      </c>
    </row>
    <row r="167" spans="3:7" ht="13.7" customHeight="1">
      <c r="C167" s="116"/>
      <c r="D167" s="116"/>
      <c r="E167" s="138" t="s">
        <v>500</v>
      </c>
      <c r="F167" s="78" t="s">
        <v>501</v>
      </c>
      <c r="G167" s="79">
        <v>327884</v>
      </c>
    </row>
    <row r="168" spans="3:7" ht="13.7" customHeight="1" thickBot="1">
      <c r="C168" s="116"/>
      <c r="D168" s="116"/>
      <c r="E168" s="138"/>
      <c r="F168" s="85" t="s">
        <v>502</v>
      </c>
      <c r="G168" s="94">
        <f>SUM(G155:G167)</f>
        <v>26981635</v>
      </c>
    </row>
    <row r="169" spans="3:7" ht="13.7" customHeight="1" thickBot="1">
      <c r="C169" s="116"/>
      <c r="D169" s="116"/>
      <c r="E169" s="138"/>
      <c r="F169" s="110" t="s">
        <v>503</v>
      </c>
      <c r="G169" s="126">
        <f>G154-G168</f>
        <v>-1989193</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17993897</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17993897</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84" priority="2" stopIfTrue="1" operator="greaterThan">
      <formula>50</formula>
    </cfRule>
    <cfRule type="cellIs" dxfId="283" priority="11" stopIfTrue="1" operator="equal">
      <formula>0</formula>
    </cfRule>
  </conditionalFormatting>
  <conditionalFormatting sqref="D7:D61">
    <cfRule type="cellIs" dxfId="282" priority="9" stopIfTrue="1" operator="between">
      <formula>-0.1</formula>
      <formula>-50</formula>
    </cfRule>
    <cfRule type="cellIs" dxfId="281" priority="10" stopIfTrue="1" operator="between">
      <formula>0.1</formula>
      <formula>50</formula>
    </cfRule>
  </conditionalFormatting>
  <conditionalFormatting sqref="G152:G181 G7:G150">
    <cfRule type="cellIs" dxfId="280" priority="7" stopIfTrue="1" operator="between">
      <formula>-0.1</formula>
      <formula>-50</formula>
    </cfRule>
    <cfRule type="cellIs" dxfId="279" priority="8" stopIfTrue="1" operator="between">
      <formula>0.1</formula>
      <formula>50</formula>
    </cfRule>
  </conditionalFormatting>
  <conditionalFormatting sqref="D111:D155">
    <cfRule type="cellIs" dxfId="278" priority="5" stopIfTrue="1" operator="between">
      <formula>-0.1</formula>
      <formula>-50</formula>
    </cfRule>
    <cfRule type="cellIs" dxfId="277" priority="6" stopIfTrue="1" operator="between">
      <formula>0.1</formula>
      <formula>50</formula>
    </cfRule>
  </conditionalFormatting>
  <conditionalFormatting sqref="G165">
    <cfRule type="expression" dxfId="276" priority="4" stopIfTrue="1">
      <formula>AND($G$165&gt;0,$G$151&gt;0)</formula>
    </cfRule>
  </conditionalFormatting>
  <conditionalFormatting sqref="G151">
    <cfRule type="expression" dxfId="27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56:G157 G144 D128:D140 G112 D116:D121 G87:G93 G58:G77 D36:D50 G47 D13:D19 G21 G11" unlockedFormula="1"/>
  </ignoredError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C168" sqref="C168"/>
    </sheetView>
  </sheetViews>
  <sheetFormatPr baseColWidth="10" defaultColWidth="0" defaultRowHeight="15.75" zeroHeight="1"/>
  <cols>
    <col min="1" max="1" width="3" style="1" customWidth="1"/>
    <col min="2" max="2" width="14.28515625" style="6" hidden="1" customWidth="1"/>
    <col min="3" max="3" width="57.28515625" style="19" customWidth="1"/>
    <col min="4" max="4" width="21" style="19" customWidth="1"/>
    <col min="5" max="5" width="3.85546875" style="13" customWidth="1"/>
    <col min="6" max="6" width="57.28515625" style="19" customWidth="1"/>
    <col min="7" max="7" width="21" style="19" customWidth="1"/>
    <col min="8" max="8" width="3.28515625" style="4" customWidth="1"/>
    <col min="9" max="16384" width="0" style="4" hidden="1"/>
  </cols>
  <sheetData>
    <row r="1" spans="1:9">
      <c r="B1" s="2"/>
      <c r="C1" s="255" t="s">
        <v>0</v>
      </c>
      <c r="D1" s="258"/>
      <c r="E1" s="253" t="str">
        <f>[21]Presentacion!C3</f>
        <v>COMEFLO - IAMPP</v>
      </c>
      <c r="F1" s="253"/>
      <c r="G1" s="136"/>
      <c r="H1" s="3"/>
    </row>
    <row r="2" spans="1:9">
      <c r="B2" s="5"/>
      <c r="C2" s="255" t="s">
        <v>1</v>
      </c>
      <c r="D2" s="258"/>
      <c r="E2" s="253" t="str">
        <f>[21]Presentacion!C4</f>
        <v>Flores</v>
      </c>
      <c r="F2" s="253"/>
      <c r="G2" s="136"/>
      <c r="H2" s="3"/>
    </row>
    <row r="3" spans="1:9">
      <c r="B3" s="5"/>
      <c r="C3" s="255" t="s">
        <v>2</v>
      </c>
      <c r="D3" s="255"/>
      <c r="E3" s="254" t="s">
        <v>3</v>
      </c>
      <c r="F3" s="254"/>
      <c r="G3" s="136"/>
      <c r="H3" s="3"/>
    </row>
    <row r="4" spans="1:9" ht="11.2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+[21]E.S.P.!D6</f>
        <v>2021</v>
      </c>
      <c r="E6" s="138"/>
      <c r="F6" s="75" t="s">
        <v>8</v>
      </c>
      <c r="G6" s="76">
        <f>+D6</f>
        <v>2021</v>
      </c>
      <c r="H6" s="12"/>
    </row>
    <row r="7" spans="1:9">
      <c r="B7" s="5" t="s">
        <v>9</v>
      </c>
      <c r="C7" s="78" t="s">
        <v>10</v>
      </c>
      <c r="D7" s="79">
        <v>12754319</v>
      </c>
      <c r="E7" s="138" t="s">
        <v>11</v>
      </c>
      <c r="F7" s="80" t="s">
        <v>12</v>
      </c>
      <c r="G7" s="81">
        <v>3961163</v>
      </c>
    </row>
    <row r="8" spans="1:9">
      <c r="B8" s="5" t="s">
        <v>13</v>
      </c>
      <c r="C8" s="78" t="s">
        <v>14</v>
      </c>
      <c r="D8" s="79">
        <v>39674556</v>
      </c>
      <c r="E8" s="138" t="s">
        <v>15</v>
      </c>
      <c r="F8" s="78" t="s">
        <v>16</v>
      </c>
      <c r="G8" s="82">
        <v>23235455</v>
      </c>
    </row>
    <row r="9" spans="1:9">
      <c r="B9" s="5" t="s">
        <v>17</v>
      </c>
      <c r="C9" s="78" t="s">
        <v>18</v>
      </c>
      <c r="D9" s="79">
        <v>402075302</v>
      </c>
      <c r="E9" s="138" t="s">
        <v>19</v>
      </c>
      <c r="F9" s="78" t="s">
        <v>20</v>
      </c>
      <c r="G9" s="79">
        <v>18686335</v>
      </c>
    </row>
    <row r="10" spans="1:9">
      <c r="B10" s="5" t="s">
        <v>21</v>
      </c>
      <c r="C10" s="78" t="s">
        <v>22</v>
      </c>
      <c r="D10" s="79">
        <v>28950946</v>
      </c>
      <c r="E10" s="138" t="s">
        <v>23</v>
      </c>
      <c r="F10" s="78" t="s">
        <v>24</v>
      </c>
      <c r="G10" s="79">
        <v>35732685</v>
      </c>
    </row>
    <row r="11" spans="1:9">
      <c r="B11" s="5" t="s">
        <v>25</v>
      </c>
      <c r="C11" s="78" t="s">
        <v>26</v>
      </c>
      <c r="D11" s="79">
        <v>9460226</v>
      </c>
      <c r="E11" s="138" t="s">
        <v>27</v>
      </c>
      <c r="F11" s="78" t="s">
        <v>28</v>
      </c>
      <c r="G11" s="79">
        <v>35597604</v>
      </c>
    </row>
    <row r="12" spans="1:9">
      <c r="B12" s="5" t="s">
        <v>29</v>
      </c>
      <c r="C12" s="78" t="s">
        <v>30</v>
      </c>
      <c r="D12" s="79">
        <v>10305771</v>
      </c>
      <c r="E12" s="138" t="s">
        <v>31</v>
      </c>
      <c r="F12" s="78" t="s">
        <v>32</v>
      </c>
      <c r="G12" s="79">
        <v>10238822</v>
      </c>
    </row>
    <row r="13" spans="1:9">
      <c r="B13" s="5" t="s">
        <v>33</v>
      </c>
      <c r="C13" s="78" t="s">
        <v>34</v>
      </c>
      <c r="D13" s="79">
        <v>0</v>
      </c>
      <c r="E13" s="138" t="s">
        <v>35</v>
      </c>
      <c r="F13" s="78" t="s">
        <v>36</v>
      </c>
      <c r="G13" s="79">
        <v>1021242</v>
      </c>
    </row>
    <row r="14" spans="1:9">
      <c r="A14" s="14"/>
      <c r="B14" s="5" t="s">
        <v>37</v>
      </c>
      <c r="C14" s="78" t="s">
        <v>38</v>
      </c>
      <c r="D14" s="79">
        <v>0</v>
      </c>
      <c r="E14" s="138" t="s">
        <v>39</v>
      </c>
      <c r="F14" s="78" t="s">
        <v>40</v>
      </c>
      <c r="G14" s="79">
        <v>53884944</v>
      </c>
    </row>
    <row r="15" spans="1:9">
      <c r="B15" s="5" t="s">
        <v>41</v>
      </c>
      <c r="C15" s="83" t="s">
        <v>42</v>
      </c>
      <c r="D15" s="79">
        <v>0</v>
      </c>
      <c r="E15" s="138" t="s">
        <v>43</v>
      </c>
      <c r="F15" s="78" t="s">
        <v>44</v>
      </c>
      <c r="G15" s="79">
        <v>28349749</v>
      </c>
    </row>
    <row r="16" spans="1:9">
      <c r="B16" s="5" t="s">
        <v>45</v>
      </c>
      <c r="C16" s="78" t="s">
        <v>46</v>
      </c>
      <c r="D16" s="79">
        <v>0</v>
      </c>
      <c r="E16" s="138" t="s">
        <v>47</v>
      </c>
      <c r="F16" s="78" t="s">
        <v>48</v>
      </c>
      <c r="G16" s="79">
        <f>6844906+10577148+9845433</f>
        <v>27267487</v>
      </c>
    </row>
    <row r="17" spans="1:7">
      <c r="B17" s="5" t="s">
        <v>49</v>
      </c>
      <c r="C17" s="78" t="s">
        <v>50</v>
      </c>
      <c r="D17" s="79">
        <v>0</v>
      </c>
      <c r="E17" s="138" t="s">
        <v>51</v>
      </c>
      <c r="F17" s="78" t="s">
        <v>52</v>
      </c>
      <c r="G17" s="79">
        <v>0</v>
      </c>
    </row>
    <row r="18" spans="1:7">
      <c r="A18" s="14"/>
      <c r="B18" s="5" t="s">
        <v>53</v>
      </c>
      <c r="C18" s="78" t="s">
        <v>54</v>
      </c>
      <c r="D18" s="79">
        <v>0</v>
      </c>
      <c r="E18" s="138" t="s">
        <v>55</v>
      </c>
      <c r="F18" s="78" t="s">
        <v>56</v>
      </c>
      <c r="G18" s="84">
        <v>8656999</v>
      </c>
    </row>
    <row r="19" spans="1:7" ht="16.5" thickBot="1">
      <c r="A19" s="14"/>
      <c r="B19" s="5" t="s">
        <v>57</v>
      </c>
      <c r="C19" s="78" t="s">
        <v>58</v>
      </c>
      <c r="D19" s="79">
        <v>17494928</v>
      </c>
      <c r="E19" s="138"/>
      <c r="F19" s="85" t="s">
        <v>59</v>
      </c>
      <c r="G19" s="86">
        <f>SUM(G7:G18)</f>
        <v>246632485</v>
      </c>
    </row>
    <row r="20" spans="1:7" ht="16.5" thickBot="1">
      <c r="B20" s="5"/>
      <c r="C20" s="85" t="s">
        <v>60</v>
      </c>
      <c r="D20" s="86">
        <f>SUM(D7:D19)</f>
        <v>520716048</v>
      </c>
      <c r="E20" s="138" t="s">
        <v>61</v>
      </c>
      <c r="F20" s="80" t="s">
        <v>62</v>
      </c>
      <c r="G20" s="81">
        <v>25932</v>
      </c>
    </row>
    <row r="21" spans="1:7">
      <c r="B21" s="5"/>
      <c r="C21" s="87" t="s">
        <v>63</v>
      </c>
      <c r="D21" s="88">
        <f>SUM(D22:D28)</f>
        <v>6195423</v>
      </c>
      <c r="E21" s="138" t="s">
        <v>64</v>
      </c>
      <c r="F21" s="78" t="s">
        <v>65</v>
      </c>
      <c r="G21" s="79">
        <v>7858894</v>
      </c>
    </row>
    <row r="22" spans="1:7">
      <c r="B22" s="5" t="s">
        <v>66</v>
      </c>
      <c r="C22" s="78" t="s">
        <v>67</v>
      </c>
      <c r="D22" s="79">
        <v>3912026</v>
      </c>
      <c r="E22" s="138" t="s">
        <v>68</v>
      </c>
      <c r="F22" s="78" t="s">
        <v>69</v>
      </c>
      <c r="G22" s="79">
        <v>3692482</v>
      </c>
    </row>
    <row r="23" spans="1:7">
      <c r="B23" s="5" t="s">
        <v>70</v>
      </c>
      <c r="C23" s="78" t="s">
        <v>71</v>
      </c>
      <c r="D23" s="79">
        <v>264</v>
      </c>
      <c r="E23" s="138" t="s">
        <v>72</v>
      </c>
      <c r="F23" s="78" t="s">
        <v>73</v>
      </c>
      <c r="G23" s="79">
        <v>0</v>
      </c>
    </row>
    <row r="24" spans="1:7">
      <c r="B24" s="5" t="s">
        <v>74</v>
      </c>
      <c r="C24" s="78" t="s">
        <v>75</v>
      </c>
      <c r="D24" s="79">
        <v>1987030</v>
      </c>
      <c r="E24" s="138" t="s">
        <v>76</v>
      </c>
      <c r="F24" s="78" t="s">
        <v>77</v>
      </c>
      <c r="G24" s="79">
        <v>0</v>
      </c>
    </row>
    <row r="25" spans="1:7">
      <c r="B25" s="5" t="s">
        <v>78</v>
      </c>
      <c r="C25" s="78" t="s">
        <v>79</v>
      </c>
      <c r="D25" s="79">
        <v>4603</v>
      </c>
      <c r="E25" s="138" t="s">
        <v>80</v>
      </c>
      <c r="F25" s="78" t="s">
        <v>81</v>
      </c>
      <c r="G25" s="79">
        <v>1722752</v>
      </c>
    </row>
    <row r="26" spans="1:7">
      <c r="B26" s="5" t="s">
        <v>82</v>
      </c>
      <c r="C26" s="78" t="s">
        <v>83</v>
      </c>
      <c r="D26" s="79">
        <v>73252</v>
      </c>
      <c r="E26" s="138" t="s">
        <v>84</v>
      </c>
      <c r="F26" s="78" t="s">
        <v>85</v>
      </c>
      <c r="G26" s="84">
        <v>478068</v>
      </c>
    </row>
    <row r="27" spans="1:7" ht="13.5" customHeight="1" thickBot="1">
      <c r="B27" s="5" t="s">
        <v>86</v>
      </c>
      <c r="C27" s="78" t="s">
        <v>87</v>
      </c>
      <c r="D27" s="79">
        <v>20168</v>
      </c>
      <c r="E27" s="138"/>
      <c r="F27" s="85" t="s">
        <v>88</v>
      </c>
      <c r="G27" s="86">
        <f>SUM(G20:G26)</f>
        <v>13778128</v>
      </c>
    </row>
    <row r="28" spans="1:7">
      <c r="B28" s="5" t="s">
        <v>89</v>
      </c>
      <c r="C28" s="78" t="s">
        <v>90</v>
      </c>
      <c r="D28" s="79">
        <v>198080</v>
      </c>
      <c r="E28" s="138" t="s">
        <v>91</v>
      </c>
      <c r="F28" s="80" t="s">
        <v>92</v>
      </c>
      <c r="G28" s="81">
        <v>13311302</v>
      </c>
    </row>
    <row r="29" spans="1:7">
      <c r="B29" s="5"/>
      <c r="C29" s="89" t="s">
        <v>93</v>
      </c>
      <c r="D29" s="88">
        <f>SUM(D30:D34)</f>
        <v>40002898</v>
      </c>
      <c r="E29" s="138" t="s">
        <v>94</v>
      </c>
      <c r="F29" s="78" t="s">
        <v>95</v>
      </c>
      <c r="G29" s="79">
        <v>16031970</v>
      </c>
    </row>
    <row r="30" spans="1:7">
      <c r="B30" s="5" t="s">
        <v>96</v>
      </c>
      <c r="C30" s="78" t="s">
        <v>97</v>
      </c>
      <c r="D30" s="79">
        <v>36215935</v>
      </c>
      <c r="E30" s="138" t="s">
        <v>98</v>
      </c>
      <c r="F30" s="78" t="s">
        <v>99</v>
      </c>
      <c r="G30" s="79">
        <v>926550</v>
      </c>
    </row>
    <row r="31" spans="1:7">
      <c r="B31" s="5" t="s">
        <v>100</v>
      </c>
      <c r="C31" s="78" t="s">
        <v>101</v>
      </c>
      <c r="D31" s="79">
        <v>1401177</v>
      </c>
      <c r="E31" s="138" t="s">
        <v>102</v>
      </c>
      <c r="F31" s="78" t="s">
        <v>103</v>
      </c>
      <c r="G31" s="84">
        <v>976428</v>
      </c>
    </row>
    <row r="32" spans="1:7" ht="16.5" thickBot="1">
      <c r="B32" s="5" t="s">
        <v>104</v>
      </c>
      <c r="C32" s="78" t="s">
        <v>105</v>
      </c>
      <c r="D32" s="79">
        <v>1068713</v>
      </c>
      <c r="E32" s="138"/>
      <c r="F32" s="85" t="s">
        <v>106</v>
      </c>
      <c r="G32" s="86">
        <f>SUM(G28:G31)</f>
        <v>31246250</v>
      </c>
    </row>
    <row r="33" spans="2:7">
      <c r="B33" s="5" t="s">
        <v>107</v>
      </c>
      <c r="C33" s="78" t="s">
        <v>108</v>
      </c>
      <c r="D33" s="79">
        <v>6476</v>
      </c>
      <c r="E33" s="138"/>
      <c r="F33" s="89" t="s">
        <v>109</v>
      </c>
      <c r="G33" s="88">
        <f>SUM(G34:G39)</f>
        <v>43676090</v>
      </c>
    </row>
    <row r="34" spans="2:7">
      <c r="B34" s="5" t="s">
        <v>110</v>
      </c>
      <c r="C34" s="78" t="s">
        <v>111</v>
      </c>
      <c r="D34" s="79">
        <v>1310597</v>
      </c>
      <c r="E34" s="138" t="s">
        <v>112</v>
      </c>
      <c r="F34" s="78" t="s">
        <v>113</v>
      </c>
      <c r="G34" s="79">
        <v>3087014</v>
      </c>
    </row>
    <row r="35" spans="2:7" ht="16.5" thickBot="1">
      <c r="B35" s="5"/>
      <c r="C35" s="85" t="s">
        <v>114</v>
      </c>
      <c r="D35" s="86">
        <f>+D21+D29</f>
        <v>46198321</v>
      </c>
      <c r="E35" s="138" t="s">
        <v>115</v>
      </c>
      <c r="F35" s="78" t="s">
        <v>116</v>
      </c>
      <c r="G35" s="79">
        <v>457955</v>
      </c>
    </row>
    <row r="36" spans="2:7">
      <c r="B36" s="5" t="s">
        <v>117</v>
      </c>
      <c r="C36" s="78" t="s">
        <v>118</v>
      </c>
      <c r="D36" s="79">
        <v>0</v>
      </c>
      <c r="E36" s="138" t="s">
        <v>119</v>
      </c>
      <c r="F36" s="78" t="s">
        <v>517</v>
      </c>
      <c r="G36" s="79">
        <v>700971</v>
      </c>
    </row>
    <row r="37" spans="2:7">
      <c r="B37" s="5" t="s">
        <v>120</v>
      </c>
      <c r="C37" s="78" t="s">
        <v>121</v>
      </c>
      <c r="D37" s="79">
        <v>0</v>
      </c>
      <c r="E37" s="138" t="s">
        <v>122</v>
      </c>
      <c r="F37" s="78" t="s">
        <v>123</v>
      </c>
      <c r="G37" s="79">
        <v>1655531</v>
      </c>
    </row>
    <row r="38" spans="2:7">
      <c r="B38" s="5" t="s">
        <v>124</v>
      </c>
      <c r="C38" s="78" t="s">
        <v>125</v>
      </c>
      <c r="D38" s="79">
        <v>0</v>
      </c>
      <c r="E38" s="138" t="s">
        <v>126</v>
      </c>
      <c r="F38" s="78" t="s">
        <v>127</v>
      </c>
      <c r="G38" s="79">
        <v>4967713</v>
      </c>
    </row>
    <row r="39" spans="2:7">
      <c r="B39" s="5" t="s">
        <v>128</v>
      </c>
      <c r="C39" s="78" t="s">
        <v>129</v>
      </c>
      <c r="D39" s="79">
        <v>0</v>
      </c>
      <c r="E39" s="138" t="s">
        <v>130</v>
      </c>
      <c r="F39" s="78" t="s">
        <v>131</v>
      </c>
      <c r="G39" s="79">
        <v>32806906</v>
      </c>
    </row>
    <row r="40" spans="2:7">
      <c r="B40" s="5" t="s">
        <v>132</v>
      </c>
      <c r="C40" s="78" t="s">
        <v>133</v>
      </c>
      <c r="D40" s="79">
        <v>0</v>
      </c>
      <c r="E40" s="138"/>
      <c r="F40" s="90" t="s">
        <v>134</v>
      </c>
      <c r="G40" s="91">
        <f>SUM(G41:G46)</f>
        <v>5661752</v>
      </c>
    </row>
    <row r="41" spans="2:7">
      <c r="B41" s="5" t="s">
        <v>135</v>
      </c>
      <c r="C41" s="78" t="s">
        <v>136</v>
      </c>
      <c r="D41" s="79">
        <v>0</v>
      </c>
      <c r="E41" s="138" t="s">
        <v>137</v>
      </c>
      <c r="F41" s="78" t="s">
        <v>138</v>
      </c>
      <c r="G41" s="79">
        <v>341000</v>
      </c>
    </row>
    <row r="42" spans="2:7">
      <c r="B42" s="5" t="s">
        <v>139</v>
      </c>
      <c r="C42" s="78" t="s">
        <v>140</v>
      </c>
      <c r="D42" s="79">
        <v>5818016</v>
      </c>
      <c r="E42" s="138" t="s">
        <v>141</v>
      </c>
      <c r="F42" s="78" t="s">
        <v>142</v>
      </c>
      <c r="G42" s="79">
        <v>36110</v>
      </c>
    </row>
    <row r="43" spans="2:7">
      <c r="B43" s="5" t="s">
        <v>143</v>
      </c>
      <c r="C43" s="78" t="s">
        <v>144</v>
      </c>
      <c r="D43" s="79">
        <v>0</v>
      </c>
      <c r="E43" s="138" t="s">
        <v>145</v>
      </c>
      <c r="F43" s="78" t="s">
        <v>146</v>
      </c>
      <c r="G43" s="79">
        <v>555923</v>
      </c>
    </row>
    <row r="44" spans="2:7">
      <c r="B44" s="5" t="s">
        <v>147</v>
      </c>
      <c r="C44" s="78" t="s">
        <v>148</v>
      </c>
      <c r="D44" s="79">
        <v>0</v>
      </c>
      <c r="E44" s="138" t="s">
        <v>149</v>
      </c>
      <c r="F44" s="78" t="s">
        <v>150</v>
      </c>
      <c r="G44" s="79">
        <v>226276</v>
      </c>
    </row>
    <row r="45" spans="2:7">
      <c r="B45" s="5" t="s">
        <v>151</v>
      </c>
      <c r="C45" s="78" t="s">
        <v>152</v>
      </c>
      <c r="D45" s="79">
        <v>57160</v>
      </c>
      <c r="E45" s="138" t="s">
        <v>153</v>
      </c>
      <c r="F45" s="78" t="s">
        <v>154</v>
      </c>
      <c r="G45" s="79">
        <v>366119</v>
      </c>
    </row>
    <row r="46" spans="2:7">
      <c r="B46" s="5" t="s">
        <v>155</v>
      </c>
      <c r="C46" s="78" t="s">
        <v>156</v>
      </c>
      <c r="D46" s="79">
        <v>208638</v>
      </c>
      <c r="E46" s="138" t="s">
        <v>157</v>
      </c>
      <c r="F46" s="78" t="s">
        <v>158</v>
      </c>
      <c r="G46" s="79">
        <v>4136324</v>
      </c>
    </row>
    <row r="47" spans="2:7" ht="16.5" thickBot="1">
      <c r="B47" s="5"/>
      <c r="C47" s="85" t="s">
        <v>159</v>
      </c>
      <c r="D47" s="86">
        <f>SUM(D36:D46)</f>
        <v>6083814</v>
      </c>
      <c r="E47" s="138" t="s">
        <v>160</v>
      </c>
      <c r="F47" s="78" t="s">
        <v>161</v>
      </c>
      <c r="G47" s="84">
        <v>1626201</v>
      </c>
    </row>
    <row r="48" spans="2:7" ht="16.5" thickBot="1">
      <c r="B48" s="5"/>
      <c r="C48" s="92" t="s">
        <v>162</v>
      </c>
      <c r="D48" s="93"/>
      <c r="E48" s="138"/>
      <c r="F48" s="85" t="s">
        <v>163</v>
      </c>
      <c r="G48" s="94">
        <f>+G33+G40+G47</f>
        <v>50964043</v>
      </c>
    </row>
    <row r="49" spans="2:7">
      <c r="B49" s="5" t="s">
        <v>164</v>
      </c>
      <c r="C49" s="95" t="s">
        <v>165</v>
      </c>
      <c r="D49" s="96">
        <v>23332</v>
      </c>
      <c r="E49" s="138" t="s">
        <v>166</v>
      </c>
      <c r="F49" s="80" t="s">
        <v>167</v>
      </c>
      <c r="G49" s="81">
        <v>0</v>
      </c>
    </row>
    <row r="50" spans="2:7">
      <c r="B50" s="5" t="s">
        <v>168</v>
      </c>
      <c r="C50" s="78" t="s">
        <v>162</v>
      </c>
      <c r="D50" s="79">
        <v>7902043</v>
      </c>
      <c r="E50" s="138" t="s">
        <v>169</v>
      </c>
      <c r="F50" s="78" t="s">
        <v>170</v>
      </c>
      <c r="G50" s="79">
        <v>14806943</v>
      </c>
    </row>
    <row r="51" spans="2:7">
      <c r="B51" s="5" t="s">
        <v>171</v>
      </c>
      <c r="C51" s="78" t="s">
        <v>172</v>
      </c>
      <c r="D51" s="84">
        <v>16442</v>
      </c>
      <c r="E51" s="138" t="s">
        <v>173</v>
      </c>
      <c r="F51" s="78" t="s">
        <v>174</v>
      </c>
      <c r="G51" s="79">
        <v>467313</v>
      </c>
    </row>
    <row r="52" spans="2:7" ht="16.5" thickBot="1">
      <c r="B52" s="11"/>
      <c r="C52" s="85" t="s">
        <v>175</v>
      </c>
      <c r="D52" s="86">
        <f>SUM(D49:D51)</f>
        <v>7941817</v>
      </c>
      <c r="E52" s="138" t="s">
        <v>176</v>
      </c>
      <c r="F52" s="78" t="s">
        <v>177</v>
      </c>
      <c r="G52" s="79">
        <v>262729</v>
      </c>
    </row>
    <row r="53" spans="2:7" ht="16.5" thickBot="1">
      <c r="B53" s="5"/>
      <c r="C53" s="75" t="s">
        <v>178</v>
      </c>
      <c r="D53" s="97">
        <f>D20+D35+D47+D52</f>
        <v>580940000</v>
      </c>
      <c r="E53" s="138" t="s">
        <v>179</v>
      </c>
      <c r="F53" s="78" t="s">
        <v>180</v>
      </c>
      <c r="G53" s="79">
        <v>60909</v>
      </c>
    </row>
    <row r="54" spans="2:7">
      <c r="C54" s="98"/>
      <c r="D54" s="99"/>
      <c r="E54" s="138" t="s">
        <v>181</v>
      </c>
      <c r="F54" s="78" t="s">
        <v>182</v>
      </c>
      <c r="G54" s="79">
        <v>746465</v>
      </c>
    </row>
    <row r="55" spans="2:7">
      <c r="C55" s="100" t="s">
        <v>183</v>
      </c>
      <c r="D55" s="101"/>
      <c r="E55" s="138" t="s">
        <v>184</v>
      </c>
      <c r="F55" s="78" t="s">
        <v>185</v>
      </c>
      <c r="G55" s="79">
        <v>96095</v>
      </c>
    </row>
    <row r="56" spans="2:7">
      <c r="B56" s="5" t="s">
        <v>186</v>
      </c>
      <c r="C56" s="102" t="s">
        <v>187</v>
      </c>
      <c r="D56" s="79"/>
      <c r="E56" s="138" t="s">
        <v>188</v>
      </c>
      <c r="F56" s="78" t="s">
        <v>189</v>
      </c>
      <c r="G56" s="84">
        <v>544049</v>
      </c>
    </row>
    <row r="57" spans="2:7" ht="14.25" customHeight="1" thickBot="1">
      <c r="B57" s="5" t="s">
        <v>190</v>
      </c>
      <c r="C57" s="102" t="s">
        <v>191</v>
      </c>
      <c r="D57" s="79"/>
      <c r="E57" s="138"/>
      <c r="F57" s="85" t="s">
        <v>192</v>
      </c>
      <c r="G57" s="86">
        <f>SUM(G49:G56)</f>
        <v>16984503</v>
      </c>
    </row>
    <row r="58" spans="2:7">
      <c r="B58" s="5" t="s">
        <v>193</v>
      </c>
      <c r="C58" s="102" t="s">
        <v>194</v>
      </c>
      <c r="D58" s="79"/>
      <c r="E58" s="138" t="s">
        <v>195</v>
      </c>
      <c r="F58" s="80" t="s">
        <v>196</v>
      </c>
      <c r="G58" s="81">
        <v>0</v>
      </c>
    </row>
    <row r="59" spans="2:7">
      <c r="B59" s="5" t="s">
        <v>197</v>
      </c>
      <c r="C59" s="78" t="s">
        <v>198</v>
      </c>
      <c r="D59" s="84"/>
      <c r="E59" s="138" t="s">
        <v>199</v>
      </c>
      <c r="F59" s="78" t="s">
        <v>200</v>
      </c>
      <c r="G59" s="79">
        <v>25052586</v>
      </c>
    </row>
    <row r="60" spans="2:7" ht="16.5" thickBot="1">
      <c r="B60" s="5"/>
      <c r="C60" s="85" t="s">
        <v>201</v>
      </c>
      <c r="D60" s="86">
        <f>SUM(D56:D59)</f>
        <v>0</v>
      </c>
      <c r="E60" s="138" t="s">
        <v>202</v>
      </c>
      <c r="F60" s="78" t="s">
        <v>203</v>
      </c>
      <c r="G60" s="79">
        <v>25670893</v>
      </c>
    </row>
    <row r="61" spans="2:7" ht="16.5" thickBot="1">
      <c r="B61" s="15"/>
      <c r="C61" s="72" t="s">
        <v>204</v>
      </c>
      <c r="D61" s="103">
        <f>D53+D60</f>
        <v>580940000</v>
      </c>
      <c r="E61" s="138" t="s">
        <v>205</v>
      </c>
      <c r="F61" s="78" t="s">
        <v>206</v>
      </c>
      <c r="G61" s="79">
        <v>3224903</v>
      </c>
    </row>
    <row r="62" spans="2:7">
      <c r="B62" s="16"/>
      <c r="C62" s="116"/>
      <c r="D62" s="116"/>
      <c r="E62" s="138" t="s">
        <v>207</v>
      </c>
      <c r="F62" s="78" t="s">
        <v>208</v>
      </c>
      <c r="G62" s="79">
        <v>0</v>
      </c>
    </row>
    <row r="63" spans="2:7">
      <c r="B63" s="17"/>
      <c r="C63" s="222" t="s">
        <v>8</v>
      </c>
      <c r="D63" s="222"/>
      <c r="E63" s="138" t="s">
        <v>209</v>
      </c>
      <c r="F63" s="78" t="s">
        <v>210</v>
      </c>
      <c r="G63" s="79">
        <v>23147590</v>
      </c>
    </row>
    <row r="64" spans="2:7">
      <c r="B64" s="18" t="s">
        <v>211</v>
      </c>
      <c r="C64" s="223" t="s">
        <v>212</v>
      </c>
      <c r="D64" s="223">
        <f>[21]Amortizaciones!D6</f>
        <v>5342104</v>
      </c>
      <c r="E64" s="138" t="s">
        <v>213</v>
      </c>
      <c r="F64" s="78" t="s">
        <v>214</v>
      </c>
      <c r="G64" s="79">
        <v>3648916</v>
      </c>
    </row>
    <row r="65" spans="2:7">
      <c r="B65" s="18" t="s">
        <v>215</v>
      </c>
      <c r="C65" s="223" t="s">
        <v>216</v>
      </c>
      <c r="D65" s="223">
        <f>[21]Amortizaciones!D7</f>
        <v>0</v>
      </c>
      <c r="E65" s="138" t="s">
        <v>217</v>
      </c>
      <c r="F65" s="78" t="s">
        <v>218</v>
      </c>
      <c r="G65" s="79">
        <v>1535966</v>
      </c>
    </row>
    <row r="66" spans="2:7">
      <c r="B66" s="18" t="s">
        <v>219</v>
      </c>
      <c r="C66" s="223" t="s">
        <v>220</v>
      </c>
      <c r="D66" s="223">
        <f>[21]Amortizaciones!D8</f>
        <v>3822283</v>
      </c>
      <c r="E66" s="138" t="s">
        <v>221</v>
      </c>
      <c r="F66" s="78" t="s">
        <v>222</v>
      </c>
      <c r="G66" s="79">
        <v>4599905</v>
      </c>
    </row>
    <row r="67" spans="2:7">
      <c r="B67" s="18" t="s">
        <v>223</v>
      </c>
      <c r="C67" s="223" t="s">
        <v>224</v>
      </c>
      <c r="D67" s="223">
        <f>[21]Amortizaciones!D9</f>
        <v>0</v>
      </c>
      <c r="E67" s="138" t="s">
        <v>225</v>
      </c>
      <c r="F67" s="78" t="s">
        <v>226</v>
      </c>
      <c r="G67" s="79">
        <v>5956844</v>
      </c>
    </row>
    <row r="68" spans="2:7">
      <c r="B68" s="18" t="s">
        <v>227</v>
      </c>
      <c r="C68" s="223" t="s">
        <v>228</v>
      </c>
      <c r="D68" s="223">
        <f>[21]Amortizaciones!D10</f>
        <v>0</v>
      </c>
      <c r="E68" s="138" t="s">
        <v>229</v>
      </c>
      <c r="F68" s="78" t="s">
        <v>230</v>
      </c>
      <c r="G68" s="79">
        <v>0</v>
      </c>
    </row>
    <row r="69" spans="2:7">
      <c r="B69" s="18" t="s">
        <v>231</v>
      </c>
      <c r="C69" s="223" t="s">
        <v>232</v>
      </c>
      <c r="D69" s="223">
        <f>[21]Amortizaciones!D11</f>
        <v>696305</v>
      </c>
      <c r="E69" s="138" t="s">
        <v>233</v>
      </c>
      <c r="F69" s="78" t="s">
        <v>234</v>
      </c>
      <c r="G69" s="79">
        <v>902842</v>
      </c>
    </row>
    <row r="70" spans="2:7">
      <c r="B70" s="18" t="s">
        <v>235</v>
      </c>
      <c r="C70" s="223" t="s">
        <v>236</v>
      </c>
      <c r="D70" s="223">
        <f>[21]Amortizaciones!D12</f>
        <v>0</v>
      </c>
      <c r="E70" s="138" t="s">
        <v>237</v>
      </c>
      <c r="F70" s="78" t="s">
        <v>238</v>
      </c>
      <c r="G70" s="79">
        <v>0</v>
      </c>
    </row>
    <row r="71" spans="2:7">
      <c r="B71" s="18" t="s">
        <v>239</v>
      </c>
      <c r="C71" s="223" t="s">
        <v>240</v>
      </c>
      <c r="D71" s="223">
        <f>[21]Amortizaciones!D13</f>
        <v>0</v>
      </c>
      <c r="E71" s="138" t="s">
        <v>241</v>
      </c>
      <c r="F71" s="78" t="s">
        <v>242</v>
      </c>
      <c r="G71" s="79">
        <v>0</v>
      </c>
    </row>
    <row r="72" spans="2:7">
      <c r="B72" s="18" t="s">
        <v>243</v>
      </c>
      <c r="C72" s="223" t="s">
        <v>244</v>
      </c>
      <c r="D72" s="223">
        <f>[21]Amortizaciones!D14</f>
        <v>0</v>
      </c>
      <c r="E72" s="138" t="s">
        <v>245</v>
      </c>
      <c r="F72" s="78" t="s">
        <v>246</v>
      </c>
      <c r="G72" s="79">
        <v>0</v>
      </c>
    </row>
    <row r="73" spans="2:7">
      <c r="B73" s="18" t="s">
        <v>247</v>
      </c>
      <c r="C73" s="223" t="s">
        <v>248</v>
      </c>
      <c r="D73" s="223">
        <f>[21]Amortizaciones!D15</f>
        <v>0</v>
      </c>
      <c r="E73" s="138" t="s">
        <v>249</v>
      </c>
      <c r="F73" s="78" t="s">
        <v>250</v>
      </c>
      <c r="G73" s="79">
        <v>0</v>
      </c>
    </row>
    <row r="74" spans="2:7">
      <c r="B74" s="18" t="s">
        <v>251</v>
      </c>
      <c r="C74" s="223" t="s">
        <v>252</v>
      </c>
      <c r="D74" s="223">
        <f>[21]Amortizaciones!D16</f>
        <v>0</v>
      </c>
      <c r="E74" s="138" t="s">
        <v>253</v>
      </c>
      <c r="F74" s="78" t="s">
        <v>254</v>
      </c>
      <c r="G74" s="79">
        <v>0</v>
      </c>
    </row>
    <row r="75" spans="2:7">
      <c r="B75" s="18" t="s">
        <v>255</v>
      </c>
      <c r="C75" s="223" t="s">
        <v>256</v>
      </c>
      <c r="D75" s="223">
        <f>[21]Amortizaciones!D17</f>
        <v>0</v>
      </c>
      <c r="E75" s="138" t="s">
        <v>257</v>
      </c>
      <c r="F75" s="78" t="s">
        <v>258</v>
      </c>
      <c r="G75" s="79">
        <v>3707779</v>
      </c>
    </row>
    <row r="76" spans="2:7">
      <c r="B76" s="18" t="s">
        <v>259</v>
      </c>
      <c r="C76" s="223" t="s">
        <v>260</v>
      </c>
      <c r="D76" s="223">
        <f>[21]Amortizaciones!D18</f>
        <v>0</v>
      </c>
      <c r="E76" s="138" t="s">
        <v>261</v>
      </c>
      <c r="F76" s="78" t="s">
        <v>262</v>
      </c>
      <c r="G76" s="79">
        <f>4112389+1071011</f>
        <v>5183400</v>
      </c>
    </row>
    <row r="77" spans="2:7">
      <c r="B77" s="18" t="s">
        <v>263</v>
      </c>
      <c r="C77" s="223" t="s">
        <v>264</v>
      </c>
      <c r="D77" s="223">
        <f>SUM(D64:D76)</f>
        <v>9860692</v>
      </c>
      <c r="E77" s="138" t="s">
        <v>265</v>
      </c>
      <c r="F77" s="78" t="s">
        <v>266</v>
      </c>
      <c r="G77" s="79">
        <f>9113325+2077860+5439721+80859+4343696+5039897+1088847+3298320</f>
        <v>30482525</v>
      </c>
    </row>
    <row r="78" spans="2:7">
      <c r="B78" s="18"/>
      <c r="C78" s="223"/>
      <c r="D78" s="223"/>
      <c r="E78" s="138" t="s">
        <v>267</v>
      </c>
      <c r="F78" s="78" t="s">
        <v>268</v>
      </c>
      <c r="G78" s="84">
        <v>4468869</v>
      </c>
    </row>
    <row r="79" spans="2:7" ht="16.5" thickBot="1">
      <c r="B79" s="18"/>
      <c r="C79" s="222" t="s">
        <v>269</v>
      </c>
      <c r="D79" s="224"/>
      <c r="E79" s="138"/>
      <c r="F79" s="85" t="s">
        <v>270</v>
      </c>
      <c r="G79" s="86">
        <f>SUM(G58:G78)</f>
        <v>137583018</v>
      </c>
    </row>
    <row r="80" spans="2:7">
      <c r="B80" s="18" t="s">
        <v>271</v>
      </c>
      <c r="C80" s="223" t="s">
        <v>236</v>
      </c>
      <c r="D80" s="223">
        <f>[21]Amortizaciones!D22</f>
        <v>0</v>
      </c>
      <c r="E80" s="138" t="s">
        <v>272</v>
      </c>
      <c r="F80" s="80" t="s">
        <v>273</v>
      </c>
      <c r="G80" s="81">
        <v>108406</v>
      </c>
    </row>
    <row r="81" spans="2:7">
      <c r="B81" s="18" t="s">
        <v>274</v>
      </c>
      <c r="C81" s="223" t="s">
        <v>240</v>
      </c>
      <c r="D81" s="223">
        <f>[21]Amortizaciones!D23</f>
        <v>1188035</v>
      </c>
      <c r="E81" s="138" t="s">
        <v>275</v>
      </c>
      <c r="F81" s="78" t="s">
        <v>276</v>
      </c>
      <c r="G81" s="79">
        <v>132216</v>
      </c>
    </row>
    <row r="82" spans="2:7">
      <c r="B82" s="18" t="s">
        <v>277</v>
      </c>
      <c r="C82" s="223" t="s">
        <v>244</v>
      </c>
      <c r="D82" s="223">
        <f>[21]Amortizaciones!D24</f>
        <v>1989312</v>
      </c>
      <c r="E82" s="138" t="s">
        <v>278</v>
      </c>
      <c r="F82" s="78" t="s">
        <v>279</v>
      </c>
      <c r="G82" s="79">
        <v>225302</v>
      </c>
    </row>
    <row r="83" spans="2:7">
      <c r="B83" s="18" t="s">
        <v>280</v>
      </c>
      <c r="C83" s="223" t="s">
        <v>248</v>
      </c>
      <c r="D83" s="223">
        <f>[21]Amortizaciones!D25</f>
        <v>0</v>
      </c>
      <c r="E83" s="138" t="s">
        <v>281</v>
      </c>
      <c r="F83" s="78" t="s">
        <v>282</v>
      </c>
      <c r="G83" s="79">
        <v>1281695</v>
      </c>
    </row>
    <row r="84" spans="2:7">
      <c r="B84" s="18" t="s">
        <v>283</v>
      </c>
      <c r="C84" s="223" t="s">
        <v>284</v>
      </c>
      <c r="D84" s="223">
        <v>0</v>
      </c>
      <c r="E84" s="138" t="s">
        <v>285</v>
      </c>
      <c r="F84" s="78" t="s">
        <v>286</v>
      </c>
      <c r="G84" s="79">
        <v>3362029</v>
      </c>
    </row>
    <row r="85" spans="2:7">
      <c r="B85" s="18" t="s">
        <v>287</v>
      </c>
      <c r="C85" s="223" t="s">
        <v>288</v>
      </c>
      <c r="D85" s="223">
        <f>[21]Amortizaciones!D27</f>
        <v>0</v>
      </c>
      <c r="E85" s="138" t="s">
        <v>289</v>
      </c>
      <c r="F85" s="78" t="s">
        <v>290</v>
      </c>
      <c r="G85" s="79">
        <v>27007</v>
      </c>
    </row>
    <row r="86" spans="2:7" ht="13.5" customHeight="1">
      <c r="B86" s="18" t="s">
        <v>291</v>
      </c>
      <c r="C86" s="223" t="s">
        <v>292</v>
      </c>
      <c r="D86" s="223">
        <f>[21]Amortizaciones!D28</f>
        <v>0</v>
      </c>
      <c r="E86" s="138" t="s">
        <v>293</v>
      </c>
      <c r="F86" s="78" t="s">
        <v>294</v>
      </c>
      <c r="G86" s="79">
        <v>167332</v>
      </c>
    </row>
    <row r="87" spans="2:7" ht="13.5" customHeight="1">
      <c r="B87" s="18" t="s">
        <v>295</v>
      </c>
      <c r="C87" s="223" t="s">
        <v>296</v>
      </c>
      <c r="D87" s="223">
        <f>[21]Amortizaciones!D29</f>
        <v>0</v>
      </c>
      <c r="E87" s="138" t="s">
        <v>297</v>
      </c>
      <c r="F87" s="78" t="s">
        <v>298</v>
      </c>
      <c r="G87" s="79">
        <v>0</v>
      </c>
    </row>
    <row r="88" spans="2:7" ht="13.5" customHeight="1">
      <c r="B88" s="18" t="s">
        <v>299</v>
      </c>
      <c r="C88" s="223" t="s">
        <v>300</v>
      </c>
      <c r="D88" s="223">
        <f>[21]Amortizaciones!D30</f>
        <v>487842</v>
      </c>
      <c r="E88" s="138" t="s">
        <v>301</v>
      </c>
      <c r="F88" s="78" t="s">
        <v>302</v>
      </c>
      <c r="G88" s="79">
        <v>585289</v>
      </c>
    </row>
    <row r="89" spans="2:7">
      <c r="B89" s="18" t="s">
        <v>303</v>
      </c>
      <c r="C89" s="223" t="s">
        <v>212</v>
      </c>
      <c r="D89" s="223">
        <f>[21]Amortizaciones!D31</f>
        <v>0</v>
      </c>
      <c r="E89" s="138" t="s">
        <v>304</v>
      </c>
      <c r="F89" s="78" t="s">
        <v>305</v>
      </c>
      <c r="G89" s="79">
        <v>2080068</v>
      </c>
    </row>
    <row r="90" spans="2:7" ht="14.25" customHeight="1">
      <c r="B90" s="18" t="s">
        <v>306</v>
      </c>
      <c r="C90" s="223" t="s">
        <v>228</v>
      </c>
      <c r="D90" s="223">
        <f>[21]Amortizaciones!D32</f>
        <v>2784</v>
      </c>
      <c r="E90" s="138" t="s">
        <v>307</v>
      </c>
      <c r="F90" s="78" t="s">
        <v>308</v>
      </c>
      <c r="G90" s="79">
        <v>0</v>
      </c>
    </row>
    <row r="91" spans="2:7" ht="14.25" customHeight="1">
      <c r="B91" s="18" t="s">
        <v>309</v>
      </c>
      <c r="C91" s="223" t="s">
        <v>310</v>
      </c>
      <c r="D91" s="223">
        <f>SUM(D80:D90)</f>
        <v>3667973</v>
      </c>
      <c r="E91" s="225" t="s">
        <v>311</v>
      </c>
      <c r="F91" s="78" t="s">
        <v>312</v>
      </c>
      <c r="G91" s="79">
        <v>0</v>
      </c>
    </row>
    <row r="92" spans="2:7" ht="14.25" customHeight="1">
      <c r="B92" s="18"/>
      <c r="C92" s="226" t="s">
        <v>313</v>
      </c>
      <c r="D92" s="223">
        <f>D77+D91</f>
        <v>13528665</v>
      </c>
      <c r="E92" s="225" t="s">
        <v>314</v>
      </c>
      <c r="F92" s="78" t="s">
        <v>315</v>
      </c>
      <c r="G92" s="79">
        <v>0</v>
      </c>
    </row>
    <row r="93" spans="2:7">
      <c r="C93" s="116"/>
      <c r="D93" s="116"/>
      <c r="E93" s="225" t="s">
        <v>316</v>
      </c>
      <c r="F93" s="78" t="s">
        <v>317</v>
      </c>
      <c r="G93" s="79">
        <f>389904+4875413+205642</f>
        <v>5470959</v>
      </c>
    </row>
    <row r="94" spans="2:7">
      <c r="C94" s="116"/>
      <c r="D94" s="116"/>
      <c r="E94" s="225" t="s">
        <v>318</v>
      </c>
      <c r="F94" s="78" t="s">
        <v>319</v>
      </c>
      <c r="G94" s="84">
        <v>490389</v>
      </c>
    </row>
    <row r="95" spans="2:7" ht="13.5" customHeight="1" thickBot="1">
      <c r="C95" s="116"/>
      <c r="D95" s="116"/>
      <c r="E95" s="138"/>
      <c r="F95" s="85" t="s">
        <v>320</v>
      </c>
      <c r="G95" s="86">
        <f>SUM(G80:G94)</f>
        <v>13930692</v>
      </c>
    </row>
    <row r="96" spans="2:7">
      <c r="C96" s="116"/>
      <c r="D96" s="116"/>
      <c r="E96" s="225" t="s">
        <v>321</v>
      </c>
      <c r="F96" s="80" t="s">
        <v>322</v>
      </c>
      <c r="G96" s="81">
        <f>92035+505600</f>
        <v>597635</v>
      </c>
    </row>
    <row r="97" spans="2:7">
      <c r="C97" s="116"/>
      <c r="D97" s="116"/>
      <c r="E97" s="225" t="s">
        <v>323</v>
      </c>
      <c r="F97" s="78" t="s">
        <v>324</v>
      </c>
      <c r="G97" s="79">
        <f>1506027+31992+600</f>
        <v>1538619</v>
      </c>
    </row>
    <row r="98" spans="2:7">
      <c r="C98" s="116"/>
      <c r="D98" s="116"/>
      <c r="E98" s="225" t="s">
        <v>325</v>
      </c>
      <c r="F98" s="78" t="s">
        <v>326</v>
      </c>
      <c r="G98" s="79">
        <v>294964</v>
      </c>
    </row>
    <row r="99" spans="2:7">
      <c r="C99" s="116"/>
      <c r="D99" s="116"/>
      <c r="E99" s="225" t="s">
        <v>327</v>
      </c>
      <c r="F99" s="78" t="s">
        <v>328</v>
      </c>
      <c r="G99" s="79">
        <v>298549</v>
      </c>
    </row>
    <row r="100" spans="2:7">
      <c r="C100" s="116"/>
      <c r="D100" s="116"/>
      <c r="E100" s="225" t="s">
        <v>329</v>
      </c>
      <c r="F100" s="78" t="s">
        <v>330</v>
      </c>
      <c r="G100" s="84">
        <v>99477</v>
      </c>
    </row>
    <row r="101" spans="2:7" ht="12.75" customHeight="1" thickBot="1">
      <c r="C101" s="116"/>
      <c r="D101" s="116"/>
      <c r="E101" s="138"/>
      <c r="F101" s="85" t="s">
        <v>331</v>
      </c>
      <c r="G101" s="86">
        <f>SUM(G96:G100)</f>
        <v>2829244</v>
      </c>
    </row>
    <row r="102" spans="2:7" ht="12.75" customHeight="1" thickBot="1">
      <c r="C102" s="116"/>
      <c r="D102" s="116"/>
      <c r="E102" s="225"/>
      <c r="F102" s="110" t="s">
        <v>332</v>
      </c>
      <c r="G102" s="111">
        <f>[21]Amortizaciones!D19</f>
        <v>9860692</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523809055</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57130945</v>
      </c>
    </row>
    <row r="110" spans="2:7" ht="6.75" customHeight="1" thickBot="1">
      <c r="B110" s="5"/>
      <c r="C110" s="227"/>
      <c r="D110" s="227"/>
      <c r="E110" s="138"/>
      <c r="F110" s="116"/>
      <c r="G110" s="116"/>
    </row>
    <row r="111" spans="2:7" ht="15" customHeight="1" thickBot="1">
      <c r="C111" s="72" t="s">
        <v>269</v>
      </c>
      <c r="D111" s="118">
        <f>+[21]E.S.P.!D6</f>
        <v>2021</v>
      </c>
      <c r="E111" s="225"/>
      <c r="F111" s="72" t="s">
        <v>340</v>
      </c>
      <c r="G111" s="118">
        <f>+[21]E.S.P.!D6</f>
        <v>2021</v>
      </c>
    </row>
    <row r="112" spans="2:7" ht="13.7" customHeight="1">
      <c r="B112" s="5" t="s">
        <v>341</v>
      </c>
      <c r="C112" s="119" t="s">
        <v>342</v>
      </c>
      <c r="D112" s="120">
        <v>742818</v>
      </c>
      <c r="E112" s="138" t="s">
        <v>343</v>
      </c>
      <c r="F112" s="119" t="s">
        <v>308</v>
      </c>
      <c r="G112" s="120">
        <v>315928</v>
      </c>
    </row>
    <row r="113" spans="2:7" ht="13.7" customHeight="1">
      <c r="B113" s="5" t="s">
        <v>344</v>
      </c>
      <c r="C113" s="121" t="s">
        <v>345</v>
      </c>
      <c r="D113" s="122">
        <v>28965333</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210960</v>
      </c>
      <c r="E115" s="138" t="s">
        <v>353</v>
      </c>
      <c r="F115" s="121" t="s">
        <v>354</v>
      </c>
      <c r="G115" s="122">
        <v>0</v>
      </c>
    </row>
    <row r="116" spans="2:7" ht="13.7" customHeight="1">
      <c r="B116" s="5" t="s">
        <v>355</v>
      </c>
      <c r="C116" s="121" t="s">
        <v>356</v>
      </c>
      <c r="D116" s="122">
        <v>2548105</v>
      </c>
      <c r="E116" s="138" t="s">
        <v>357</v>
      </c>
      <c r="F116" s="121" t="s">
        <v>358</v>
      </c>
      <c r="G116" s="122">
        <v>232427</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507623</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1187028</v>
      </c>
      <c r="E121" s="138" t="s">
        <v>377</v>
      </c>
      <c r="F121" s="121" t="s">
        <v>378</v>
      </c>
      <c r="G121" s="122">
        <v>654368</v>
      </c>
    </row>
    <row r="122" spans="2:7" ht="13.7" customHeight="1" thickBot="1">
      <c r="B122" s="5"/>
      <c r="C122" s="85" t="s">
        <v>379</v>
      </c>
      <c r="D122" s="94">
        <f>SUM(D112:D121)</f>
        <v>34161867</v>
      </c>
      <c r="E122" s="138" t="s">
        <v>380</v>
      </c>
      <c r="F122" s="78" t="s">
        <v>381</v>
      </c>
      <c r="G122" s="79">
        <v>45722</v>
      </c>
    </row>
    <row r="123" spans="2:7" ht="13.7" customHeight="1" thickBot="1">
      <c r="B123" s="5" t="s">
        <v>382</v>
      </c>
      <c r="C123" s="123" t="s">
        <v>308</v>
      </c>
      <c r="D123" s="120">
        <v>0</v>
      </c>
      <c r="E123" s="225"/>
      <c r="F123" s="85" t="s">
        <v>383</v>
      </c>
      <c r="G123" s="94">
        <f>SUM(G112:G122)</f>
        <v>1248445</v>
      </c>
    </row>
    <row r="124" spans="2:7" ht="13.7" customHeight="1">
      <c r="B124" s="5" t="s">
        <v>384</v>
      </c>
      <c r="C124" s="121" t="s">
        <v>312</v>
      </c>
      <c r="D124" s="122">
        <v>825919</v>
      </c>
      <c r="E124" s="138" t="s">
        <v>385</v>
      </c>
      <c r="F124" s="121" t="s">
        <v>386</v>
      </c>
      <c r="G124" s="122">
        <v>0</v>
      </c>
    </row>
    <row r="125" spans="2:7" ht="13.7" customHeight="1">
      <c r="B125" s="5" t="s">
        <v>387</v>
      </c>
      <c r="C125" s="78" t="s">
        <v>388</v>
      </c>
      <c r="D125" s="122">
        <v>28401</v>
      </c>
      <c r="E125" s="138" t="s">
        <v>389</v>
      </c>
      <c r="F125" s="121" t="s">
        <v>390</v>
      </c>
      <c r="G125" s="122">
        <v>50674</v>
      </c>
    </row>
    <row r="126" spans="2:7" ht="13.7" customHeight="1" thickBot="1">
      <c r="B126" s="5"/>
      <c r="C126" s="85" t="s">
        <v>391</v>
      </c>
      <c r="D126" s="94">
        <f>SUM(D123:D125)</f>
        <v>854320</v>
      </c>
      <c r="E126" s="138" t="s">
        <v>392</v>
      </c>
      <c r="F126" s="121" t="s">
        <v>393</v>
      </c>
      <c r="G126" s="122">
        <v>0</v>
      </c>
    </row>
    <row r="127" spans="2:7" ht="13.7" customHeight="1">
      <c r="B127" s="5" t="s">
        <v>394</v>
      </c>
      <c r="C127" s="119" t="s">
        <v>273</v>
      </c>
      <c r="D127" s="120">
        <v>2466829</v>
      </c>
      <c r="E127" s="138" t="s">
        <v>395</v>
      </c>
      <c r="F127" s="121" t="s">
        <v>396</v>
      </c>
      <c r="G127" s="122">
        <v>0</v>
      </c>
    </row>
    <row r="128" spans="2:7" ht="13.7" customHeight="1">
      <c r="B128" s="5" t="s">
        <v>397</v>
      </c>
      <c r="C128" s="121" t="s">
        <v>398</v>
      </c>
      <c r="D128" s="122">
        <v>219028</v>
      </c>
      <c r="E128" s="138" t="s">
        <v>399</v>
      </c>
      <c r="F128" s="121" t="s">
        <v>400</v>
      </c>
      <c r="G128" s="122">
        <v>0</v>
      </c>
    </row>
    <row r="129" spans="2:7" ht="13.7" customHeight="1">
      <c r="B129" s="5" t="s">
        <v>401</v>
      </c>
      <c r="C129" s="121" t="s">
        <v>276</v>
      </c>
      <c r="D129" s="122">
        <v>21076</v>
      </c>
      <c r="E129" s="138" t="s">
        <v>402</v>
      </c>
      <c r="F129" s="121" t="s">
        <v>403</v>
      </c>
      <c r="G129" s="122">
        <v>0</v>
      </c>
    </row>
    <row r="130" spans="2:7" ht="13.7" customHeight="1">
      <c r="B130" s="5" t="s">
        <v>404</v>
      </c>
      <c r="C130" s="121" t="s">
        <v>282</v>
      </c>
      <c r="D130" s="122">
        <v>71983</v>
      </c>
      <c r="E130" s="138" t="s">
        <v>405</v>
      </c>
      <c r="F130" s="121" t="s">
        <v>406</v>
      </c>
      <c r="G130" s="122">
        <v>0</v>
      </c>
    </row>
    <row r="131" spans="2:7" ht="13.7" customHeight="1">
      <c r="B131" s="5" t="s">
        <v>407</v>
      </c>
      <c r="C131" s="121" t="s">
        <v>286</v>
      </c>
      <c r="D131" s="122">
        <v>194249</v>
      </c>
      <c r="E131" s="138" t="s">
        <v>408</v>
      </c>
      <c r="F131" s="121" t="s">
        <v>409</v>
      </c>
      <c r="G131" s="122">
        <v>0</v>
      </c>
    </row>
    <row r="132" spans="2:7" ht="13.7" customHeight="1">
      <c r="B132" s="5" t="s">
        <v>410</v>
      </c>
      <c r="C132" s="121" t="s">
        <v>290</v>
      </c>
      <c r="D132" s="122">
        <v>2527250</v>
      </c>
      <c r="E132" s="138" t="s">
        <v>411</v>
      </c>
      <c r="F132" s="121" t="s">
        <v>412</v>
      </c>
      <c r="G132" s="122">
        <v>0</v>
      </c>
    </row>
    <row r="133" spans="2:7" ht="13.7" customHeight="1">
      <c r="B133" s="5" t="s">
        <v>413</v>
      </c>
      <c r="C133" s="121" t="s">
        <v>294</v>
      </c>
      <c r="D133" s="122">
        <v>19115</v>
      </c>
      <c r="E133" s="138" t="s">
        <v>414</v>
      </c>
      <c r="F133" s="121" t="s">
        <v>415</v>
      </c>
      <c r="G133" s="122">
        <v>0</v>
      </c>
    </row>
    <row r="134" spans="2:7" ht="13.7" customHeight="1">
      <c r="B134" s="5" t="s">
        <v>416</v>
      </c>
      <c r="C134" s="121" t="s">
        <v>417</v>
      </c>
      <c r="D134" s="122">
        <v>255397</v>
      </c>
      <c r="E134" s="138" t="s">
        <v>418</v>
      </c>
      <c r="F134" s="121" t="s">
        <v>419</v>
      </c>
      <c r="G134" s="122">
        <v>0</v>
      </c>
    </row>
    <row r="135" spans="2:7" ht="13.7" customHeight="1">
      <c r="B135" s="5" t="s">
        <v>420</v>
      </c>
      <c r="C135" s="121" t="s">
        <v>421</v>
      </c>
      <c r="D135" s="122">
        <f>18095+1482359</f>
        <v>1500454</v>
      </c>
      <c r="E135" s="138" t="s">
        <v>422</v>
      </c>
      <c r="F135" s="121" t="s">
        <v>423</v>
      </c>
      <c r="G135" s="122">
        <v>0</v>
      </c>
    </row>
    <row r="136" spans="2:7" ht="13.7" customHeight="1">
      <c r="B136" s="5" t="s">
        <v>424</v>
      </c>
      <c r="C136" s="121" t="s">
        <v>317</v>
      </c>
      <c r="D136" s="122">
        <f>220886+80031+551618+2417920+32995</f>
        <v>3303450</v>
      </c>
      <c r="E136" s="138" t="s">
        <v>425</v>
      </c>
      <c r="F136" s="121" t="s">
        <v>426</v>
      </c>
      <c r="G136" s="122">
        <v>0</v>
      </c>
    </row>
    <row r="137" spans="2:7" ht="13.7" customHeight="1">
      <c r="B137" s="5" t="s">
        <v>427</v>
      </c>
      <c r="C137" s="78" t="s">
        <v>319</v>
      </c>
      <c r="D137" s="124">
        <v>407760</v>
      </c>
      <c r="E137" s="138" t="s">
        <v>428</v>
      </c>
      <c r="F137" s="121" t="s">
        <v>429</v>
      </c>
      <c r="G137" s="122">
        <f>744+29441+2061723+8961+16553-49129</f>
        <v>2068293</v>
      </c>
    </row>
    <row r="138" spans="2:7" ht="13.7" customHeight="1" thickBot="1">
      <c r="B138" s="5"/>
      <c r="C138" s="85" t="s">
        <v>320</v>
      </c>
      <c r="D138" s="94">
        <f>SUM(D127:D137)</f>
        <v>10986591</v>
      </c>
      <c r="E138" s="138" t="s">
        <v>430</v>
      </c>
      <c r="F138" s="78" t="s">
        <v>431</v>
      </c>
      <c r="G138" s="79">
        <f>1677+26107+828</f>
        <v>28612</v>
      </c>
    </row>
    <row r="139" spans="2:7" ht="13.7" customHeight="1" thickBot="1">
      <c r="B139" s="5" t="s">
        <v>432</v>
      </c>
      <c r="C139" s="119" t="s">
        <v>326</v>
      </c>
      <c r="D139" s="120">
        <v>0</v>
      </c>
      <c r="E139" s="228"/>
      <c r="F139" s="85" t="s">
        <v>433</v>
      </c>
      <c r="G139" s="94">
        <f>SUM(G124:G138)</f>
        <v>2147579</v>
      </c>
    </row>
    <row r="140" spans="2:7" ht="13.7" customHeight="1" thickBot="1">
      <c r="B140" s="5" t="s">
        <v>434</v>
      </c>
      <c r="C140" s="121" t="s">
        <v>328</v>
      </c>
      <c r="D140" s="122">
        <v>0</v>
      </c>
      <c r="E140" s="228"/>
      <c r="F140" s="110" t="s">
        <v>435</v>
      </c>
      <c r="G140" s="126">
        <f>G123-G139</f>
        <v>-899134</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[21]Amortizaciones!D33</f>
        <v>3667973</v>
      </c>
      <c r="E143" s="138"/>
      <c r="F143" s="72" t="s">
        <v>437</v>
      </c>
      <c r="G143" s="118">
        <f>+[21]E.S.P.!D6</f>
        <v>2021</v>
      </c>
    </row>
    <row r="144" spans="2:7" ht="13.7" customHeight="1">
      <c r="B144" s="5" t="s">
        <v>438</v>
      </c>
      <c r="C144" s="119" t="s">
        <v>439</v>
      </c>
      <c r="D144" s="120">
        <v>0</v>
      </c>
      <c r="E144" s="138" t="s">
        <v>440</v>
      </c>
      <c r="F144" s="119" t="s">
        <v>441</v>
      </c>
      <c r="G144" s="120">
        <v>1283175</v>
      </c>
    </row>
    <row r="145" spans="2:7" ht="13.7" customHeight="1">
      <c r="B145" s="5" t="s">
        <v>442</v>
      </c>
      <c r="C145" s="121" t="s">
        <v>443</v>
      </c>
      <c r="D145" s="122">
        <v>0</v>
      </c>
      <c r="E145" s="138" t="s">
        <v>444</v>
      </c>
      <c r="F145" s="121" t="s">
        <v>445</v>
      </c>
      <c r="G145" s="122">
        <v>480933</v>
      </c>
    </row>
    <row r="146" spans="2:7" ht="13.7" customHeight="1">
      <c r="B146" s="5" t="s">
        <v>446</v>
      </c>
      <c r="C146" s="128" t="s">
        <v>447</v>
      </c>
      <c r="D146" s="122">
        <v>0</v>
      </c>
      <c r="E146" s="138" t="s">
        <v>448</v>
      </c>
      <c r="F146" s="121" t="s">
        <v>449</v>
      </c>
      <c r="G146" s="122">
        <v>1152980</v>
      </c>
    </row>
    <row r="147" spans="2:7" ht="13.7" customHeight="1">
      <c r="B147" s="5" t="s">
        <v>450</v>
      </c>
      <c r="C147" s="78" t="s">
        <v>451</v>
      </c>
      <c r="D147" s="124">
        <v>0</v>
      </c>
      <c r="E147" s="138" t="s">
        <v>452</v>
      </c>
      <c r="F147" s="121" t="s">
        <v>453</v>
      </c>
      <c r="G147" s="122">
        <v>0</v>
      </c>
    </row>
    <row r="148" spans="2:7" ht="13.7" customHeight="1" thickBot="1">
      <c r="B148" s="5"/>
      <c r="C148" s="85" t="s">
        <v>518</v>
      </c>
      <c r="D148" s="94">
        <f>SUM(D144:D147)</f>
        <v>0</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0</v>
      </c>
    </row>
    <row r="152" spans="2:7" ht="13.7" customHeight="1" thickBot="1">
      <c r="B152" s="5"/>
      <c r="C152" s="85" t="s">
        <v>516</v>
      </c>
      <c r="D152" s="94">
        <f>SUM(D149:D151)</f>
        <v>0</v>
      </c>
      <c r="E152" s="138" t="s">
        <v>469</v>
      </c>
      <c r="F152" s="121" t="s">
        <v>470</v>
      </c>
      <c r="G152" s="122">
        <v>0</v>
      </c>
    </row>
    <row r="153" spans="2:7" ht="15" customHeight="1" thickBot="1">
      <c r="B153" s="5"/>
      <c r="C153" s="110" t="s">
        <v>471</v>
      </c>
      <c r="D153" s="129">
        <f>D122+D126+D138+D142+D143+D148+D152</f>
        <v>49670751</v>
      </c>
      <c r="E153" s="138" t="s">
        <v>472</v>
      </c>
      <c r="F153" s="78" t="s">
        <v>473</v>
      </c>
      <c r="G153" s="79">
        <v>81341</v>
      </c>
    </row>
    <row r="154" spans="2:7" ht="13.7" customHeight="1" thickBot="1">
      <c r="B154" s="5"/>
      <c r="C154" s="116"/>
      <c r="D154" s="116"/>
      <c r="E154" s="138"/>
      <c r="F154" s="85" t="s">
        <v>474</v>
      </c>
      <c r="G154" s="94">
        <f>SUM(G144:G153)</f>
        <v>2998429</v>
      </c>
    </row>
    <row r="155" spans="2:7" ht="13.5" customHeight="1" thickBot="1">
      <c r="B155" s="5"/>
      <c r="C155" s="72" t="s">
        <v>475</v>
      </c>
      <c r="D155" s="103">
        <f>G109-D153</f>
        <v>7460194</v>
      </c>
      <c r="E155" s="138" t="s">
        <v>476</v>
      </c>
      <c r="F155" s="119" t="s">
        <v>477</v>
      </c>
      <c r="G155" s="120">
        <v>220474</v>
      </c>
    </row>
    <row r="156" spans="2:7" ht="13.7" customHeight="1">
      <c r="C156" s="116"/>
      <c r="D156" s="116"/>
      <c r="E156" s="138" t="s">
        <v>478</v>
      </c>
      <c r="F156" s="121" t="s">
        <v>479</v>
      </c>
      <c r="G156" s="122">
        <v>21636</v>
      </c>
    </row>
    <row r="157" spans="2:7" ht="13.7" customHeight="1">
      <c r="C157" s="116"/>
      <c r="D157" s="116"/>
      <c r="E157" s="138" t="s">
        <v>480</v>
      </c>
      <c r="F157" s="121" t="s">
        <v>481</v>
      </c>
      <c r="G157" s="122">
        <v>3267773</v>
      </c>
    </row>
    <row r="158" spans="2:7" ht="13.7" customHeight="1">
      <c r="C158" s="116"/>
      <c r="D158" s="116"/>
      <c r="E158" s="138" t="s">
        <v>482</v>
      </c>
      <c r="F158" s="121" t="s">
        <v>483</v>
      </c>
      <c r="G158" s="122">
        <v>0</v>
      </c>
    </row>
    <row r="159" spans="2:7" ht="13.7" customHeight="1">
      <c r="C159" s="116"/>
      <c r="D159" s="116"/>
      <c r="E159" s="138" t="s">
        <v>484</v>
      </c>
      <c r="F159" s="121" t="s">
        <v>485</v>
      </c>
      <c r="G159" s="122">
        <v>375812</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8829246</v>
      </c>
    </row>
    <row r="166" spans="3:7" ht="13.7" customHeight="1">
      <c r="C166" s="116"/>
      <c r="D166" s="116"/>
      <c r="E166" s="138" t="s">
        <v>498</v>
      </c>
      <c r="F166" s="121" t="s">
        <v>499</v>
      </c>
      <c r="G166" s="122">
        <v>0</v>
      </c>
    </row>
    <row r="167" spans="3:7" ht="13.7" customHeight="1">
      <c r="C167" s="116"/>
      <c r="D167" s="116"/>
      <c r="E167" s="138" t="s">
        <v>500</v>
      </c>
      <c r="F167" s="78" t="s">
        <v>501</v>
      </c>
      <c r="G167" s="79">
        <v>132499</v>
      </c>
    </row>
    <row r="168" spans="3:7" ht="13.7" customHeight="1" thickBot="1">
      <c r="C168" s="116"/>
      <c r="D168" s="116"/>
      <c r="E168" s="138"/>
      <c r="F168" s="85" t="s">
        <v>502</v>
      </c>
      <c r="G168" s="94">
        <f>SUM(G155:G167)</f>
        <v>12847440</v>
      </c>
    </row>
    <row r="169" spans="3:7" ht="13.7" customHeight="1" thickBot="1">
      <c r="C169" s="116"/>
      <c r="D169" s="116"/>
      <c r="E169" s="138"/>
      <c r="F169" s="110" t="s">
        <v>503</v>
      </c>
      <c r="G169" s="126">
        <f>G154-G168</f>
        <v>-9849011</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-3287951</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-3287951</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274" priority="46" stopIfTrue="1" operator="greaterThan">
      <formula>50</formula>
    </cfRule>
    <cfRule type="cellIs" dxfId="273" priority="54" stopIfTrue="1" operator="equal">
      <formula>0</formula>
    </cfRule>
  </conditionalFormatting>
  <conditionalFormatting sqref="D7:D61">
    <cfRule type="cellIs" dxfId="272" priority="52" stopIfTrue="1" operator="between">
      <formula>-0.1</formula>
      <formula>-50</formula>
    </cfRule>
    <cfRule type="cellIs" dxfId="271" priority="53" stopIfTrue="1" operator="between">
      <formula>0.1</formula>
      <formula>50</formula>
    </cfRule>
  </conditionalFormatting>
  <conditionalFormatting sqref="G7:G150 G152:G181">
    <cfRule type="cellIs" dxfId="270" priority="50" stopIfTrue="1" operator="between">
      <formula>-0.1</formula>
      <formula>-50</formula>
    </cfRule>
    <cfRule type="cellIs" dxfId="269" priority="51" stopIfTrue="1" operator="between">
      <formula>0.1</formula>
      <formula>50</formula>
    </cfRule>
  </conditionalFormatting>
  <conditionalFormatting sqref="D111:D155">
    <cfRule type="cellIs" dxfId="268" priority="48" stopIfTrue="1" operator="between">
      <formula>-0.1</formula>
      <formula>-50</formula>
    </cfRule>
    <cfRule type="cellIs" dxfId="267" priority="49" stopIfTrue="1" operator="between">
      <formula>0.1</formula>
      <formula>50</formula>
    </cfRule>
  </conditionalFormatting>
  <conditionalFormatting sqref="G165">
    <cfRule type="expression" dxfId="266" priority="47" stopIfTrue="1">
      <formula>AND($G$165&gt;0,$G$151&gt;0)</formula>
    </cfRule>
  </conditionalFormatting>
  <conditionalFormatting sqref="G151">
    <cfRule type="expression" dxfId="265" priority="45"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5" right="0.25" top="0.75" bottom="0.75" header="0.3" footer="0.3"/>
  <pageSetup paperSize="9" scale="58" fitToHeight="0" orientation="portrait" r:id="rId1"/>
  <headerFooter alignWithMargins="0"/>
  <rowBreaks count="1" manualBreakCount="1">
    <brk id="79" min="2" max="23" man="1"/>
  </rowBreaks>
  <ignoredErrors>
    <ignoredError sqref="E7:E1048576" numberStoredAsText="1"/>
    <ignoredError sqref="G16 G76:G77 G93 G96:G97 G137:G138 D135:D136" unlockedFormula="1"/>
    <ignoredError sqref="G4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showGridLines="0" topLeftCell="A55" zoomScaleNormal="100" zoomScaleSheetLayoutView="100" workbookViewId="0">
      <selection activeCell="A64" sqref="A64:XFD64"/>
    </sheetView>
  </sheetViews>
  <sheetFormatPr baseColWidth="10" defaultColWidth="0" defaultRowHeight="15.75" zeroHeight="1"/>
  <cols>
    <col min="1" max="1" width="3" style="1" customWidth="1"/>
    <col min="2" max="2" width="14.28515625" style="6" hidden="1" customWidth="1"/>
    <col min="3" max="3" width="57.85546875" style="19" customWidth="1"/>
    <col min="4" max="4" width="21" style="19" customWidth="1"/>
    <col min="5" max="5" width="3.85546875" style="13" customWidth="1"/>
    <col min="6" max="6" width="57.28515625" style="19" customWidth="1"/>
    <col min="7" max="7" width="21" style="19" customWidth="1"/>
    <col min="8" max="8" width="3" style="4" customWidth="1"/>
    <col min="9" max="16384" width="0" style="4" hidden="1"/>
  </cols>
  <sheetData>
    <row r="1" spans="1:9">
      <c r="B1" s="2"/>
      <c r="C1" s="255" t="s">
        <v>0</v>
      </c>
      <c r="D1" s="255"/>
      <c r="E1" s="253" t="str">
        <f>[4]Presentacion!C3</f>
        <v>MHE</v>
      </c>
      <c r="F1" s="253"/>
      <c r="G1" s="136"/>
      <c r="H1" s="3"/>
    </row>
    <row r="2" spans="1:9">
      <c r="B2" s="5"/>
      <c r="C2" s="255" t="s">
        <v>1</v>
      </c>
      <c r="D2" s="255"/>
      <c r="E2" s="253" t="str">
        <f>[4]Presentacion!C4</f>
        <v>Montevideo</v>
      </c>
      <c r="F2" s="253"/>
      <c r="G2" s="136"/>
      <c r="H2" s="3"/>
    </row>
    <row r="3" spans="1:9">
      <c r="B3" s="5"/>
      <c r="C3" s="255" t="s">
        <v>2</v>
      </c>
      <c r="D3" s="255"/>
      <c r="E3" s="254" t="s">
        <v>3</v>
      </c>
      <c r="F3" s="254"/>
      <c r="G3" s="136"/>
      <c r="H3" s="3"/>
    </row>
    <row r="4" spans="1:9" ht="9.75" customHeight="1" thickBot="1">
      <c r="C4" s="65"/>
      <c r="D4" s="7"/>
      <c r="E4" s="8"/>
      <c r="F4" s="9"/>
      <c r="G4" s="10"/>
    </row>
    <row r="5" spans="1:9" ht="16.5" customHeight="1" thickBot="1">
      <c r="B5" s="11"/>
      <c r="C5" s="72" t="s">
        <v>4</v>
      </c>
      <c r="D5" s="73" t="s">
        <v>5</v>
      </c>
      <c r="E5" s="137"/>
      <c r="F5" s="72" t="s">
        <v>6</v>
      </c>
      <c r="G5" s="73" t="s">
        <v>5</v>
      </c>
      <c r="I5" s="12"/>
    </row>
    <row r="6" spans="1:9" ht="15.75" customHeight="1" thickBot="1">
      <c r="B6" s="11"/>
      <c r="C6" s="75" t="s">
        <v>7</v>
      </c>
      <c r="D6" s="76">
        <f>+[4]E.S.P.!D6</f>
        <v>2021</v>
      </c>
      <c r="E6" s="138"/>
      <c r="F6" s="75" t="s">
        <v>8</v>
      </c>
      <c r="G6" s="76">
        <f>+D6</f>
        <v>2021</v>
      </c>
      <c r="H6" s="12"/>
    </row>
    <row r="7" spans="1:9">
      <c r="B7" s="5" t="s">
        <v>9</v>
      </c>
      <c r="C7" s="78" t="s">
        <v>10</v>
      </c>
      <c r="D7" s="79">
        <v>67744072</v>
      </c>
      <c r="E7" s="77" t="s">
        <v>11</v>
      </c>
      <c r="F7" s="80" t="s">
        <v>12</v>
      </c>
      <c r="G7" s="81">
        <v>10030334</v>
      </c>
    </row>
    <row r="8" spans="1:9">
      <c r="B8" s="5" t="s">
        <v>13</v>
      </c>
      <c r="C8" s="78" t="s">
        <v>14</v>
      </c>
      <c r="D8" s="79">
        <v>12135816</v>
      </c>
      <c r="E8" s="77" t="s">
        <v>15</v>
      </c>
      <c r="F8" s="78" t="s">
        <v>16</v>
      </c>
      <c r="G8" s="82">
        <v>69081635</v>
      </c>
    </row>
    <row r="9" spans="1:9">
      <c r="B9" s="5" t="s">
        <v>17</v>
      </c>
      <c r="C9" s="78" t="s">
        <v>18</v>
      </c>
      <c r="D9" s="79">
        <v>1904653239</v>
      </c>
      <c r="E9" s="77" t="s">
        <v>19</v>
      </c>
      <c r="F9" s="78" t="s">
        <v>20</v>
      </c>
      <c r="G9" s="79">
        <v>108384359</v>
      </c>
    </row>
    <row r="10" spans="1:9">
      <c r="B10" s="5" t="s">
        <v>21</v>
      </c>
      <c r="C10" s="78" t="s">
        <v>22</v>
      </c>
      <c r="D10" s="79">
        <v>202541600</v>
      </c>
      <c r="E10" s="77" t="s">
        <v>23</v>
      </c>
      <c r="F10" s="78" t="s">
        <v>24</v>
      </c>
      <c r="G10" s="79">
        <v>323137600</v>
      </c>
    </row>
    <row r="11" spans="1:9">
      <c r="B11" s="5" t="s">
        <v>25</v>
      </c>
      <c r="C11" s="78" t="s">
        <v>26</v>
      </c>
      <c r="D11" s="79">
        <v>41222821</v>
      </c>
      <c r="E11" s="77" t="s">
        <v>27</v>
      </c>
      <c r="F11" s="78" t="s">
        <v>28</v>
      </c>
      <c r="G11" s="79">
        <v>169875711</v>
      </c>
    </row>
    <row r="12" spans="1:9">
      <c r="B12" s="5" t="s">
        <v>29</v>
      </c>
      <c r="C12" s="78" t="s">
        <v>30</v>
      </c>
      <c r="D12" s="79">
        <v>51746187</v>
      </c>
      <c r="E12" s="77" t="s">
        <v>31</v>
      </c>
      <c r="F12" s="78" t="s">
        <v>32</v>
      </c>
      <c r="G12" s="79">
        <v>39230164</v>
      </c>
    </row>
    <row r="13" spans="1:9">
      <c r="B13" s="5" t="s">
        <v>33</v>
      </c>
      <c r="C13" s="78" t="s">
        <v>34</v>
      </c>
      <c r="D13" s="79">
        <v>0</v>
      </c>
      <c r="E13" s="77" t="s">
        <v>35</v>
      </c>
      <c r="F13" s="78" t="s">
        <v>36</v>
      </c>
      <c r="G13" s="79">
        <v>71565460</v>
      </c>
    </row>
    <row r="14" spans="1:9">
      <c r="A14" s="14"/>
      <c r="B14" s="5" t="s">
        <v>37</v>
      </c>
      <c r="C14" s="78" t="s">
        <v>38</v>
      </c>
      <c r="D14" s="79">
        <v>0</v>
      </c>
      <c r="E14" s="77" t="s">
        <v>39</v>
      </c>
      <c r="F14" s="78" t="s">
        <v>40</v>
      </c>
      <c r="G14" s="79">
        <v>478861531</v>
      </c>
    </row>
    <row r="15" spans="1:9">
      <c r="B15" s="5" t="s">
        <v>41</v>
      </c>
      <c r="C15" s="83" t="s">
        <v>42</v>
      </c>
      <c r="D15" s="79">
        <v>0</v>
      </c>
      <c r="E15" s="77" t="s">
        <v>43</v>
      </c>
      <c r="F15" s="78" t="s">
        <v>44</v>
      </c>
      <c r="G15" s="79">
        <v>279512098</v>
      </c>
    </row>
    <row r="16" spans="1:9">
      <c r="B16" s="5" t="s">
        <v>45</v>
      </c>
      <c r="C16" s="78" t="s">
        <v>46</v>
      </c>
      <c r="D16" s="79">
        <v>0</v>
      </c>
      <c r="E16" s="77" t="s">
        <v>47</v>
      </c>
      <c r="F16" s="78" t="s">
        <v>48</v>
      </c>
      <c r="G16" s="79">
        <v>168047489</v>
      </c>
    </row>
    <row r="17" spans="1:7">
      <c r="B17" s="5" t="s">
        <v>49</v>
      </c>
      <c r="C17" s="78" t="s">
        <v>50</v>
      </c>
      <c r="D17" s="79">
        <v>0</v>
      </c>
      <c r="E17" s="77" t="s">
        <v>51</v>
      </c>
      <c r="F17" s="78" t="s">
        <v>52</v>
      </c>
      <c r="G17" s="79">
        <v>0</v>
      </c>
    </row>
    <row r="18" spans="1:7">
      <c r="A18" s="14"/>
      <c r="B18" s="5" t="s">
        <v>53</v>
      </c>
      <c r="C18" s="78" t="s">
        <v>54</v>
      </c>
      <c r="D18" s="79">
        <v>0</v>
      </c>
      <c r="E18" s="77" t="s">
        <v>55</v>
      </c>
      <c r="F18" s="78" t="s">
        <v>56</v>
      </c>
      <c r="G18" s="84">
        <v>60080225</v>
      </c>
    </row>
    <row r="19" spans="1:7" ht="16.5" thickBot="1">
      <c r="A19" s="14"/>
      <c r="B19" s="5" t="s">
        <v>57</v>
      </c>
      <c r="C19" s="78" t="s">
        <v>58</v>
      </c>
      <c r="D19" s="79">
        <v>80054121</v>
      </c>
      <c r="E19" s="77"/>
      <c r="F19" s="85" t="s">
        <v>59</v>
      </c>
      <c r="G19" s="86">
        <f>SUM(G7:G18)</f>
        <v>1777806606</v>
      </c>
    </row>
    <row r="20" spans="1:7" ht="16.5" thickBot="1">
      <c r="B20" s="5"/>
      <c r="C20" s="85" t="s">
        <v>60</v>
      </c>
      <c r="D20" s="86">
        <f>SUM(D7:D19)</f>
        <v>2360097856</v>
      </c>
      <c r="E20" s="77" t="s">
        <v>61</v>
      </c>
      <c r="F20" s="80" t="s">
        <v>62</v>
      </c>
      <c r="G20" s="81">
        <v>414445</v>
      </c>
    </row>
    <row r="21" spans="1:7">
      <c r="B21" s="5"/>
      <c r="C21" s="87" t="s">
        <v>63</v>
      </c>
      <c r="D21" s="88">
        <f>SUM(D22:D28)</f>
        <v>32725801</v>
      </c>
      <c r="E21" s="77" t="s">
        <v>64</v>
      </c>
      <c r="F21" s="78" t="s">
        <v>65</v>
      </c>
      <c r="G21" s="79">
        <v>35173268</v>
      </c>
    </row>
    <row r="22" spans="1:7">
      <c r="B22" s="5" t="s">
        <v>66</v>
      </c>
      <c r="C22" s="78" t="s">
        <v>67</v>
      </c>
      <c r="D22" s="79">
        <v>11912886</v>
      </c>
      <c r="E22" s="77" t="s">
        <v>68</v>
      </c>
      <c r="F22" s="78" t="s">
        <v>69</v>
      </c>
      <c r="G22" s="79">
        <v>4699723</v>
      </c>
    </row>
    <row r="23" spans="1:7">
      <c r="B23" s="5" t="s">
        <v>70</v>
      </c>
      <c r="C23" s="78" t="s">
        <v>71</v>
      </c>
      <c r="D23" s="79">
        <v>9858711</v>
      </c>
      <c r="E23" s="77" t="s">
        <v>72</v>
      </c>
      <c r="F23" s="78" t="s">
        <v>73</v>
      </c>
      <c r="G23" s="79">
        <f>39780466+3399726+158975</f>
        <v>43339167</v>
      </c>
    </row>
    <row r="24" spans="1:7">
      <c r="B24" s="5" t="s">
        <v>74</v>
      </c>
      <c r="C24" s="78" t="s">
        <v>75</v>
      </c>
      <c r="D24" s="79">
        <v>8533973</v>
      </c>
      <c r="E24" s="77" t="s">
        <v>76</v>
      </c>
      <c r="F24" s="78" t="s">
        <v>77</v>
      </c>
      <c r="G24" s="79">
        <v>0</v>
      </c>
    </row>
    <row r="25" spans="1:7">
      <c r="B25" s="5" t="s">
        <v>78</v>
      </c>
      <c r="C25" s="78" t="s">
        <v>79</v>
      </c>
      <c r="D25" s="79">
        <v>44223</v>
      </c>
      <c r="E25" s="77" t="s">
        <v>80</v>
      </c>
      <c r="F25" s="78" t="s">
        <v>81</v>
      </c>
      <c r="G25" s="79">
        <v>13528619</v>
      </c>
    </row>
    <row r="26" spans="1:7">
      <c r="B26" s="5" t="s">
        <v>82</v>
      </c>
      <c r="C26" s="78" t="s">
        <v>83</v>
      </c>
      <c r="D26" s="79">
        <v>1158877</v>
      </c>
      <c r="E26" s="77" t="s">
        <v>84</v>
      </c>
      <c r="F26" s="78" t="s">
        <v>85</v>
      </c>
      <c r="G26" s="84">
        <v>3452087</v>
      </c>
    </row>
    <row r="27" spans="1:7" ht="13.5" customHeight="1" thickBot="1">
      <c r="B27" s="5" t="s">
        <v>86</v>
      </c>
      <c r="C27" s="78" t="s">
        <v>87</v>
      </c>
      <c r="D27" s="79">
        <v>153708</v>
      </c>
      <c r="E27" s="77"/>
      <c r="F27" s="85" t="s">
        <v>88</v>
      </c>
      <c r="G27" s="86">
        <f>SUM(G20:G26)</f>
        <v>100607309</v>
      </c>
    </row>
    <row r="28" spans="1:7">
      <c r="B28" s="5" t="s">
        <v>89</v>
      </c>
      <c r="C28" s="78" t="s">
        <v>90</v>
      </c>
      <c r="D28" s="79">
        <v>1063423</v>
      </c>
      <c r="E28" s="77" t="s">
        <v>91</v>
      </c>
      <c r="F28" s="80" t="s">
        <v>92</v>
      </c>
      <c r="G28" s="81">
        <v>31181371</v>
      </c>
    </row>
    <row r="29" spans="1:7">
      <c r="B29" s="5"/>
      <c r="C29" s="89" t="s">
        <v>93</v>
      </c>
      <c r="D29" s="88">
        <f>SUM(D30:D34)</f>
        <v>177717614</v>
      </c>
      <c r="E29" s="77" t="s">
        <v>94</v>
      </c>
      <c r="F29" s="78" t="s">
        <v>95</v>
      </c>
      <c r="G29" s="79">
        <v>58930929</v>
      </c>
    </row>
    <row r="30" spans="1:7">
      <c r="B30" s="5" t="s">
        <v>96</v>
      </c>
      <c r="C30" s="78" t="s">
        <v>97</v>
      </c>
      <c r="D30" s="79">
        <v>115700410</v>
      </c>
      <c r="E30" s="77" t="s">
        <v>98</v>
      </c>
      <c r="F30" s="78" t="s">
        <v>99</v>
      </c>
      <c r="G30" s="79">
        <v>12518395</v>
      </c>
    </row>
    <row r="31" spans="1:7">
      <c r="B31" s="5" t="s">
        <v>100</v>
      </c>
      <c r="C31" s="78" t="s">
        <v>101</v>
      </c>
      <c r="D31" s="79">
        <v>19325247</v>
      </c>
      <c r="E31" s="77" t="s">
        <v>102</v>
      </c>
      <c r="F31" s="78" t="s">
        <v>103</v>
      </c>
      <c r="G31" s="84">
        <v>3451587</v>
      </c>
    </row>
    <row r="32" spans="1:7" ht="16.5" thickBot="1">
      <c r="B32" s="5" t="s">
        <v>104</v>
      </c>
      <c r="C32" s="78" t="s">
        <v>105</v>
      </c>
      <c r="D32" s="79">
        <v>24128868</v>
      </c>
      <c r="E32" s="77"/>
      <c r="F32" s="85" t="s">
        <v>106</v>
      </c>
      <c r="G32" s="86">
        <f>SUM(G28:G31)</f>
        <v>106082282</v>
      </c>
    </row>
    <row r="33" spans="2:7">
      <c r="B33" s="5" t="s">
        <v>107</v>
      </c>
      <c r="C33" s="78" t="s">
        <v>108</v>
      </c>
      <c r="D33" s="79">
        <v>12776046</v>
      </c>
      <c r="E33" s="77"/>
      <c r="F33" s="89" t="s">
        <v>109</v>
      </c>
      <c r="G33" s="88">
        <f>SUM(G34:G39)</f>
        <v>257145963</v>
      </c>
    </row>
    <row r="34" spans="2:7">
      <c r="B34" s="5" t="s">
        <v>110</v>
      </c>
      <c r="C34" s="78" t="s">
        <v>111</v>
      </c>
      <c r="D34" s="79">
        <v>5787043</v>
      </c>
      <c r="E34" s="77" t="s">
        <v>112</v>
      </c>
      <c r="F34" s="78" t="s">
        <v>113</v>
      </c>
      <c r="G34" s="79">
        <v>14766397</v>
      </c>
    </row>
    <row r="35" spans="2:7" ht="16.5" thickBot="1">
      <c r="B35" s="5"/>
      <c r="C35" s="85" t="s">
        <v>114</v>
      </c>
      <c r="D35" s="86">
        <f>+D21+D29</f>
        <v>210443415</v>
      </c>
      <c r="E35" s="77" t="s">
        <v>115</v>
      </c>
      <c r="F35" s="78" t="s">
        <v>116</v>
      </c>
      <c r="G35" s="79">
        <v>9144305</v>
      </c>
    </row>
    <row r="36" spans="2:7">
      <c r="B36" s="5" t="s">
        <v>117</v>
      </c>
      <c r="C36" s="78" t="s">
        <v>118</v>
      </c>
      <c r="D36" s="79">
        <f>72273292+32300068</f>
        <v>104573360</v>
      </c>
      <c r="E36" s="77" t="s">
        <v>119</v>
      </c>
      <c r="F36" s="78" t="s">
        <v>517</v>
      </c>
      <c r="G36" s="79">
        <v>5122087</v>
      </c>
    </row>
    <row r="37" spans="2:7">
      <c r="B37" s="5" t="s">
        <v>120</v>
      </c>
      <c r="C37" s="78" t="s">
        <v>121</v>
      </c>
      <c r="D37" s="79">
        <v>37933908</v>
      </c>
      <c r="E37" s="77" t="s">
        <v>122</v>
      </c>
      <c r="F37" s="78" t="s">
        <v>123</v>
      </c>
      <c r="G37" s="79">
        <v>17753348</v>
      </c>
    </row>
    <row r="38" spans="2:7">
      <c r="B38" s="5" t="s">
        <v>124</v>
      </c>
      <c r="C38" s="78" t="s">
        <v>125</v>
      </c>
      <c r="D38" s="79">
        <v>12714337</v>
      </c>
      <c r="E38" s="77" t="s">
        <v>126</v>
      </c>
      <c r="F38" s="78" t="s">
        <v>127</v>
      </c>
      <c r="G38" s="79">
        <v>31162747</v>
      </c>
    </row>
    <row r="39" spans="2:7">
      <c r="B39" s="5" t="s">
        <v>128</v>
      </c>
      <c r="C39" s="78" t="s">
        <v>129</v>
      </c>
      <c r="D39" s="79">
        <v>42287091</v>
      </c>
      <c r="E39" s="77" t="s">
        <v>130</v>
      </c>
      <c r="F39" s="78" t="s">
        <v>131</v>
      </c>
      <c r="G39" s="79">
        <v>179197079</v>
      </c>
    </row>
    <row r="40" spans="2:7">
      <c r="B40" s="5" t="s">
        <v>132</v>
      </c>
      <c r="C40" s="78" t="s">
        <v>133</v>
      </c>
      <c r="D40" s="79">
        <v>66509723</v>
      </c>
      <c r="E40" s="77"/>
      <c r="F40" s="90" t="s">
        <v>134</v>
      </c>
      <c r="G40" s="91">
        <f>SUM(G41:G46)</f>
        <v>46490366</v>
      </c>
    </row>
    <row r="41" spans="2:7">
      <c r="B41" s="5" t="s">
        <v>135</v>
      </c>
      <c r="C41" s="78" t="s">
        <v>136</v>
      </c>
      <c r="D41" s="79">
        <v>106894936</v>
      </c>
      <c r="E41" s="77" t="s">
        <v>137</v>
      </c>
      <c r="F41" s="78" t="s">
        <v>138</v>
      </c>
      <c r="G41" s="79">
        <v>1725440</v>
      </c>
    </row>
    <row r="42" spans="2:7">
      <c r="B42" s="5" t="s">
        <v>139</v>
      </c>
      <c r="C42" s="78" t="s">
        <v>140</v>
      </c>
      <c r="D42" s="79">
        <f>19182461+186653+11476053+26632275</f>
        <v>57477442</v>
      </c>
      <c r="E42" s="77" t="s">
        <v>141</v>
      </c>
      <c r="F42" s="78" t="s">
        <v>142</v>
      </c>
      <c r="G42" s="79">
        <v>288436</v>
      </c>
    </row>
    <row r="43" spans="2:7">
      <c r="B43" s="5" t="s">
        <v>143</v>
      </c>
      <c r="C43" s="78" t="s">
        <v>144</v>
      </c>
      <c r="D43" s="79">
        <v>3309516</v>
      </c>
      <c r="E43" s="77" t="s">
        <v>145</v>
      </c>
      <c r="F43" s="78" t="s">
        <v>146</v>
      </c>
      <c r="G43" s="79">
        <v>17963863</v>
      </c>
    </row>
    <row r="44" spans="2:7">
      <c r="B44" s="5" t="s">
        <v>147</v>
      </c>
      <c r="C44" s="78" t="s">
        <v>148</v>
      </c>
      <c r="D44" s="79">
        <v>144915</v>
      </c>
      <c r="E44" s="77" t="s">
        <v>149</v>
      </c>
      <c r="F44" s="78" t="s">
        <v>150</v>
      </c>
      <c r="G44" s="79">
        <v>1271302</v>
      </c>
    </row>
    <row r="45" spans="2:7">
      <c r="B45" s="5" t="s">
        <v>151</v>
      </c>
      <c r="C45" s="78" t="s">
        <v>152</v>
      </c>
      <c r="D45" s="79">
        <f>14230289.68+15268.98+62308924</f>
        <v>76554482.659999996</v>
      </c>
      <c r="E45" s="77" t="s">
        <v>153</v>
      </c>
      <c r="F45" s="78" t="s">
        <v>154</v>
      </c>
      <c r="G45" s="79">
        <v>10101369</v>
      </c>
    </row>
    <row r="46" spans="2:7">
      <c r="B46" s="5" t="s">
        <v>155</v>
      </c>
      <c r="C46" s="78" t="s">
        <v>156</v>
      </c>
      <c r="D46" s="79">
        <f>16168600+1100654</f>
        <v>17269254</v>
      </c>
      <c r="E46" s="77" t="s">
        <v>157</v>
      </c>
      <c r="F46" s="78" t="s">
        <v>158</v>
      </c>
      <c r="G46" s="79">
        <v>15139956</v>
      </c>
    </row>
    <row r="47" spans="2:7" ht="16.5" thickBot="1">
      <c r="B47" s="5"/>
      <c r="C47" s="85" t="s">
        <v>159</v>
      </c>
      <c r="D47" s="86">
        <f>SUM(D36:D46)</f>
        <v>525668964.65999997</v>
      </c>
      <c r="E47" s="77" t="s">
        <v>160</v>
      </c>
      <c r="F47" s="78" t="s">
        <v>161</v>
      </c>
      <c r="G47" s="84">
        <v>11049341</v>
      </c>
    </row>
    <row r="48" spans="2:7" ht="16.5" thickBot="1">
      <c r="B48" s="5"/>
      <c r="C48" s="92" t="s">
        <v>162</v>
      </c>
      <c r="D48" s="93"/>
      <c r="E48" s="77"/>
      <c r="F48" s="85" t="s">
        <v>163</v>
      </c>
      <c r="G48" s="94">
        <f>+G33+G40+G47</f>
        <v>314685670</v>
      </c>
    </row>
    <row r="49" spans="2:7">
      <c r="B49" s="5" t="s">
        <v>164</v>
      </c>
      <c r="C49" s="95" t="s">
        <v>165</v>
      </c>
      <c r="D49" s="96">
        <v>75828</v>
      </c>
      <c r="E49" s="77" t="s">
        <v>166</v>
      </c>
      <c r="F49" s="80" t="s">
        <v>167</v>
      </c>
      <c r="G49" s="81">
        <v>111800</v>
      </c>
    </row>
    <row r="50" spans="2:7">
      <c r="B50" s="5" t="s">
        <v>168</v>
      </c>
      <c r="C50" s="78" t="s">
        <v>162</v>
      </c>
      <c r="D50" s="79">
        <v>49157943</v>
      </c>
      <c r="E50" s="77" t="s">
        <v>169</v>
      </c>
      <c r="F50" s="78" t="s">
        <v>170</v>
      </c>
      <c r="G50" s="79">
        <v>86797452</v>
      </c>
    </row>
    <row r="51" spans="2:7">
      <c r="B51" s="5" t="s">
        <v>171</v>
      </c>
      <c r="C51" s="78" t="s">
        <v>172</v>
      </c>
      <c r="D51" s="84">
        <v>2639</v>
      </c>
      <c r="E51" s="77" t="s">
        <v>173</v>
      </c>
      <c r="F51" s="78" t="s">
        <v>174</v>
      </c>
      <c r="G51" s="79">
        <v>2856531</v>
      </c>
    </row>
    <row r="52" spans="2:7" ht="16.5" thickBot="1">
      <c r="B52" s="11"/>
      <c r="C52" s="85" t="s">
        <v>175</v>
      </c>
      <c r="D52" s="86">
        <f>SUM(D49:D51)</f>
        <v>49236410</v>
      </c>
      <c r="E52" s="77" t="s">
        <v>176</v>
      </c>
      <c r="F52" s="78" t="s">
        <v>177</v>
      </c>
      <c r="G52" s="79">
        <v>4661587</v>
      </c>
    </row>
    <row r="53" spans="2:7" ht="16.5" thickBot="1">
      <c r="B53" s="5"/>
      <c r="C53" s="75" t="s">
        <v>178</v>
      </c>
      <c r="D53" s="97">
        <f>D20+D35+D47+D52</f>
        <v>3145446645.6599998</v>
      </c>
      <c r="E53" s="77" t="s">
        <v>179</v>
      </c>
      <c r="F53" s="78" t="s">
        <v>180</v>
      </c>
      <c r="G53" s="79">
        <v>19543516</v>
      </c>
    </row>
    <row r="54" spans="2:7">
      <c r="C54" s="98"/>
      <c r="D54" s="99"/>
      <c r="E54" s="77" t="s">
        <v>181</v>
      </c>
      <c r="F54" s="78" t="s">
        <v>182</v>
      </c>
      <c r="G54" s="79">
        <v>2360326</v>
      </c>
    </row>
    <row r="55" spans="2:7">
      <c r="C55" s="100" t="s">
        <v>183</v>
      </c>
      <c r="D55" s="101"/>
      <c r="E55" s="77" t="s">
        <v>184</v>
      </c>
      <c r="F55" s="78" t="s">
        <v>185</v>
      </c>
      <c r="G55" s="79">
        <v>2247593</v>
      </c>
    </row>
    <row r="56" spans="2:7">
      <c r="B56" s="5" t="s">
        <v>186</v>
      </c>
      <c r="C56" s="102" t="s">
        <v>187</v>
      </c>
      <c r="D56" s="79"/>
      <c r="E56" s="77" t="s">
        <v>188</v>
      </c>
      <c r="F56" s="78" t="s">
        <v>189</v>
      </c>
      <c r="G56" s="84">
        <v>3876365</v>
      </c>
    </row>
    <row r="57" spans="2:7" ht="14.25" customHeight="1" thickBot="1">
      <c r="B57" s="5" t="s">
        <v>190</v>
      </c>
      <c r="C57" s="102" t="s">
        <v>191</v>
      </c>
      <c r="D57" s="79"/>
      <c r="E57" s="77"/>
      <c r="F57" s="85" t="s">
        <v>192</v>
      </c>
      <c r="G57" s="86">
        <f>SUM(G49:G56)</f>
        <v>122455170</v>
      </c>
    </row>
    <row r="58" spans="2:7">
      <c r="B58" s="5" t="s">
        <v>193</v>
      </c>
      <c r="C58" s="102" t="s">
        <v>194</v>
      </c>
      <c r="D58" s="79"/>
      <c r="E58" s="77" t="s">
        <v>195</v>
      </c>
      <c r="F58" s="80" t="s">
        <v>196</v>
      </c>
      <c r="G58" s="81">
        <v>132862175</v>
      </c>
    </row>
    <row r="59" spans="2:7">
      <c r="B59" s="5" t="s">
        <v>197</v>
      </c>
      <c r="C59" s="78" t="s">
        <v>198</v>
      </c>
      <c r="D59" s="84"/>
      <c r="E59" s="77" t="s">
        <v>199</v>
      </c>
      <c r="F59" s="78" t="s">
        <v>200</v>
      </c>
      <c r="G59" s="79">
        <v>18622600</v>
      </c>
    </row>
    <row r="60" spans="2:7" ht="16.5" thickBot="1">
      <c r="B60" s="5"/>
      <c r="C60" s="85" t="s">
        <v>201</v>
      </c>
      <c r="D60" s="86">
        <f>SUM(D56:D59)</f>
        <v>0</v>
      </c>
      <c r="E60" s="77" t="s">
        <v>202</v>
      </c>
      <c r="F60" s="78" t="s">
        <v>203</v>
      </c>
      <c r="G60" s="79">
        <v>331245</v>
      </c>
    </row>
    <row r="61" spans="2:7" ht="16.5" thickBot="1">
      <c r="B61" s="15"/>
      <c r="C61" s="72" t="s">
        <v>204</v>
      </c>
      <c r="D61" s="103">
        <f>D53+D60</f>
        <v>3145446645.6599998</v>
      </c>
      <c r="E61" s="77" t="s">
        <v>205</v>
      </c>
      <c r="F61" s="78" t="s">
        <v>206</v>
      </c>
      <c r="G61" s="79">
        <v>164189</v>
      </c>
    </row>
    <row r="62" spans="2:7">
      <c r="B62" s="16"/>
      <c r="C62" s="104"/>
      <c r="D62" s="104"/>
      <c r="E62" s="77" t="s">
        <v>207</v>
      </c>
      <c r="F62" s="78" t="s">
        <v>208</v>
      </c>
      <c r="G62" s="79">
        <v>0</v>
      </c>
    </row>
    <row r="63" spans="2:7">
      <c r="B63" s="17"/>
      <c r="C63" s="105" t="s">
        <v>8</v>
      </c>
      <c r="D63" s="105"/>
      <c r="E63" s="77" t="s">
        <v>209</v>
      </c>
      <c r="F63" s="78" t="s">
        <v>210</v>
      </c>
      <c r="G63" s="79">
        <v>127093269</v>
      </c>
    </row>
    <row r="64" spans="2:7">
      <c r="B64" s="18" t="s">
        <v>211</v>
      </c>
      <c r="C64" s="106" t="s">
        <v>212</v>
      </c>
      <c r="D64" s="106">
        <f>[4]Amortizaciones!D6</f>
        <v>11174220</v>
      </c>
      <c r="E64" s="77" t="s">
        <v>213</v>
      </c>
      <c r="F64" s="78" t="s">
        <v>214</v>
      </c>
      <c r="G64" s="79">
        <v>15776646</v>
      </c>
    </row>
    <row r="65" spans="2:7">
      <c r="B65" s="18" t="s">
        <v>215</v>
      </c>
      <c r="C65" s="106" t="s">
        <v>216</v>
      </c>
      <c r="D65" s="106">
        <f>[4]Amortizaciones!D7</f>
        <v>0</v>
      </c>
      <c r="E65" s="77" t="s">
        <v>217</v>
      </c>
      <c r="F65" s="78" t="s">
        <v>218</v>
      </c>
      <c r="G65" s="79">
        <v>1578050</v>
      </c>
    </row>
    <row r="66" spans="2:7">
      <c r="B66" s="18" t="s">
        <v>219</v>
      </c>
      <c r="C66" s="106" t="s">
        <v>220</v>
      </c>
      <c r="D66" s="106">
        <f>[4]Amortizaciones!D8</f>
        <v>4112276</v>
      </c>
      <c r="E66" s="77" t="s">
        <v>221</v>
      </c>
      <c r="F66" s="78" t="s">
        <v>222</v>
      </c>
      <c r="G66" s="79">
        <v>20984984</v>
      </c>
    </row>
    <row r="67" spans="2:7">
      <c r="B67" s="18" t="s">
        <v>223</v>
      </c>
      <c r="C67" s="106" t="s">
        <v>224</v>
      </c>
      <c r="D67" s="106">
        <f>[4]Amortizaciones!D9</f>
        <v>19104</v>
      </c>
      <c r="E67" s="77" t="s">
        <v>225</v>
      </c>
      <c r="F67" s="78" t="s">
        <v>226</v>
      </c>
      <c r="G67" s="79">
        <v>2608157</v>
      </c>
    </row>
    <row r="68" spans="2:7">
      <c r="B68" s="18" t="s">
        <v>227</v>
      </c>
      <c r="C68" s="106" t="s">
        <v>228</v>
      </c>
      <c r="D68" s="106">
        <f>[4]Amortizaciones!D10</f>
        <v>775462</v>
      </c>
      <c r="E68" s="77" t="s">
        <v>229</v>
      </c>
      <c r="F68" s="78" t="s">
        <v>230</v>
      </c>
      <c r="G68" s="79">
        <v>1824087</v>
      </c>
    </row>
    <row r="69" spans="2:7">
      <c r="B69" s="18" t="s">
        <v>231</v>
      </c>
      <c r="C69" s="106" t="s">
        <v>232</v>
      </c>
      <c r="D69" s="106">
        <f>[4]Amortizaciones!D11</f>
        <v>657846</v>
      </c>
      <c r="E69" s="77" t="s">
        <v>233</v>
      </c>
      <c r="F69" s="78" t="s">
        <v>234</v>
      </c>
      <c r="G69" s="79">
        <v>1605868</v>
      </c>
    </row>
    <row r="70" spans="2:7">
      <c r="B70" s="18" t="s">
        <v>235</v>
      </c>
      <c r="C70" s="106" t="s">
        <v>236</v>
      </c>
      <c r="D70" s="106">
        <f>[4]Amortizaciones!D12</f>
        <v>0</v>
      </c>
      <c r="E70" s="77" t="s">
        <v>237</v>
      </c>
      <c r="F70" s="78" t="s">
        <v>238</v>
      </c>
      <c r="G70" s="79">
        <v>17063974</v>
      </c>
    </row>
    <row r="71" spans="2:7">
      <c r="B71" s="18" t="s">
        <v>239</v>
      </c>
      <c r="C71" s="106" t="s">
        <v>240</v>
      </c>
      <c r="D71" s="106">
        <f>[4]Amortizaciones!D13</f>
        <v>0</v>
      </c>
      <c r="E71" s="77" t="s">
        <v>241</v>
      </c>
      <c r="F71" s="78" t="s">
        <v>242</v>
      </c>
      <c r="G71" s="79">
        <v>0</v>
      </c>
    </row>
    <row r="72" spans="2:7">
      <c r="B72" s="18" t="s">
        <v>243</v>
      </c>
      <c r="C72" s="106" t="s">
        <v>244</v>
      </c>
      <c r="D72" s="106">
        <f>[4]Amortizaciones!D14</f>
        <v>3158016</v>
      </c>
      <c r="E72" s="77" t="s">
        <v>245</v>
      </c>
      <c r="F72" s="78" t="s">
        <v>246</v>
      </c>
      <c r="G72" s="79">
        <v>5732407</v>
      </c>
    </row>
    <row r="73" spans="2:7">
      <c r="B73" s="18" t="s">
        <v>247</v>
      </c>
      <c r="C73" s="106" t="s">
        <v>248</v>
      </c>
      <c r="D73" s="106">
        <f>[4]Amortizaciones!D15</f>
        <v>0</v>
      </c>
      <c r="E73" s="77" t="s">
        <v>249</v>
      </c>
      <c r="F73" s="78" t="s">
        <v>250</v>
      </c>
      <c r="G73" s="79">
        <v>0</v>
      </c>
    </row>
    <row r="74" spans="2:7">
      <c r="B74" s="18" t="s">
        <v>251</v>
      </c>
      <c r="C74" s="106" t="s">
        <v>252</v>
      </c>
      <c r="D74" s="106">
        <f>[4]Amortizaciones!D16</f>
        <v>4319128</v>
      </c>
      <c r="E74" s="77" t="s">
        <v>253</v>
      </c>
      <c r="F74" s="78" t="s">
        <v>254</v>
      </c>
      <c r="G74" s="79">
        <v>8974135</v>
      </c>
    </row>
    <row r="75" spans="2:7">
      <c r="B75" s="18" t="s">
        <v>255</v>
      </c>
      <c r="C75" s="106" t="s">
        <v>256</v>
      </c>
      <c r="D75" s="106">
        <f>[4]Amortizaciones!D17</f>
        <v>0</v>
      </c>
      <c r="E75" s="77" t="s">
        <v>257</v>
      </c>
      <c r="F75" s="78" t="s">
        <v>258</v>
      </c>
      <c r="G75" s="79">
        <v>7511690</v>
      </c>
    </row>
    <row r="76" spans="2:7">
      <c r="B76" s="18" t="s">
        <v>259</v>
      </c>
      <c r="C76" s="106" t="s">
        <v>260</v>
      </c>
      <c r="D76" s="106">
        <f>[4]Amortizaciones!D18</f>
        <v>0</v>
      </c>
      <c r="E76" s="77" t="s">
        <v>261</v>
      </c>
      <c r="F76" s="78" t="s">
        <v>262</v>
      </c>
      <c r="G76" s="79">
        <v>30808715</v>
      </c>
    </row>
    <row r="77" spans="2:7">
      <c r="B77" s="18" t="s">
        <v>263</v>
      </c>
      <c r="C77" s="106" t="s">
        <v>264</v>
      </c>
      <c r="D77" s="106">
        <f>SUM(D64:D76)</f>
        <v>24216052</v>
      </c>
      <c r="E77" s="77" t="s">
        <v>265</v>
      </c>
      <c r="F77" s="78" t="s">
        <v>266</v>
      </c>
      <c r="G77" s="79">
        <f>1201295+45402145</f>
        <v>46603440</v>
      </c>
    </row>
    <row r="78" spans="2:7">
      <c r="B78" s="18"/>
      <c r="C78" s="106"/>
      <c r="D78" s="106"/>
      <c r="E78" s="77" t="s">
        <v>267</v>
      </c>
      <c r="F78" s="78" t="s">
        <v>268</v>
      </c>
      <c r="G78" s="84">
        <v>14663012</v>
      </c>
    </row>
    <row r="79" spans="2:7" ht="16.5" thickBot="1">
      <c r="B79" s="18"/>
      <c r="C79" s="105" t="s">
        <v>269</v>
      </c>
      <c r="D79" s="107"/>
      <c r="E79" s="77"/>
      <c r="F79" s="85" t="s">
        <v>270</v>
      </c>
      <c r="G79" s="86">
        <f>SUM(G58:G78)</f>
        <v>454808643</v>
      </c>
    </row>
    <row r="80" spans="2:7">
      <c r="B80" s="18" t="s">
        <v>271</v>
      </c>
      <c r="C80" s="106" t="s">
        <v>236</v>
      </c>
      <c r="D80" s="106">
        <f>[4]Amortizaciones!D22</f>
        <v>3208954</v>
      </c>
      <c r="E80" s="77" t="s">
        <v>272</v>
      </c>
      <c r="F80" s="80" t="s">
        <v>273</v>
      </c>
      <c r="G80" s="81">
        <v>91996</v>
      </c>
    </row>
    <row r="81" spans="2:7">
      <c r="B81" s="18" t="s">
        <v>274</v>
      </c>
      <c r="C81" s="106" t="s">
        <v>240</v>
      </c>
      <c r="D81" s="106">
        <f>[4]Amortizaciones!D23</f>
        <v>323039</v>
      </c>
      <c r="E81" s="77" t="s">
        <v>275</v>
      </c>
      <c r="F81" s="78" t="s">
        <v>276</v>
      </c>
      <c r="G81" s="79">
        <v>8957097</v>
      </c>
    </row>
    <row r="82" spans="2:7">
      <c r="B82" s="18" t="s">
        <v>277</v>
      </c>
      <c r="C82" s="106" t="s">
        <v>244</v>
      </c>
      <c r="D82" s="106">
        <f>[4]Amortizaciones!D24</f>
        <v>0</v>
      </c>
      <c r="E82" s="77" t="s">
        <v>278</v>
      </c>
      <c r="F82" s="78" t="s">
        <v>279</v>
      </c>
      <c r="G82" s="79">
        <v>6877218</v>
      </c>
    </row>
    <row r="83" spans="2:7">
      <c r="B83" s="18" t="s">
        <v>280</v>
      </c>
      <c r="C83" s="106" t="s">
        <v>248</v>
      </c>
      <c r="D83" s="106">
        <f>[4]Amortizaciones!D25</f>
        <v>0</v>
      </c>
      <c r="E83" s="77" t="s">
        <v>281</v>
      </c>
      <c r="F83" s="78" t="s">
        <v>282</v>
      </c>
      <c r="G83" s="79">
        <v>3074281</v>
      </c>
    </row>
    <row r="84" spans="2:7">
      <c r="B84" s="18" t="s">
        <v>283</v>
      </c>
      <c r="C84" s="106" t="s">
        <v>284</v>
      </c>
      <c r="D84" s="106">
        <v>0</v>
      </c>
      <c r="E84" s="77" t="s">
        <v>285</v>
      </c>
      <c r="F84" s="78" t="s">
        <v>286</v>
      </c>
      <c r="G84" s="79">
        <v>11928901</v>
      </c>
    </row>
    <row r="85" spans="2:7">
      <c r="B85" s="18" t="s">
        <v>287</v>
      </c>
      <c r="C85" s="106" t="s">
        <v>288</v>
      </c>
      <c r="D85" s="106">
        <f>[4]Amortizaciones!D27</f>
        <v>0</v>
      </c>
      <c r="E85" s="77" t="s">
        <v>289</v>
      </c>
      <c r="F85" s="78" t="s">
        <v>290</v>
      </c>
      <c r="G85" s="79">
        <v>4824015</v>
      </c>
    </row>
    <row r="86" spans="2:7" ht="13.5" customHeight="1">
      <c r="B86" s="18" t="s">
        <v>291</v>
      </c>
      <c r="C86" s="106" t="s">
        <v>292</v>
      </c>
      <c r="D86" s="106">
        <f>[4]Amortizaciones!D28</f>
        <v>0</v>
      </c>
      <c r="E86" s="77" t="s">
        <v>293</v>
      </c>
      <c r="F86" s="78" t="s">
        <v>294</v>
      </c>
      <c r="G86" s="79">
        <v>1044677</v>
      </c>
    </row>
    <row r="87" spans="2:7" ht="13.5" customHeight="1">
      <c r="B87" s="18" t="s">
        <v>295</v>
      </c>
      <c r="C87" s="106" t="s">
        <v>296</v>
      </c>
      <c r="D87" s="106">
        <f>[4]Amortizaciones!D29</f>
        <v>0</v>
      </c>
      <c r="E87" s="77" t="s">
        <v>297</v>
      </c>
      <c r="F87" s="78" t="s">
        <v>298</v>
      </c>
      <c r="G87" s="79">
        <v>18667227</v>
      </c>
    </row>
    <row r="88" spans="2:7" ht="13.5" customHeight="1">
      <c r="B88" s="18" t="s">
        <v>299</v>
      </c>
      <c r="C88" s="106" t="s">
        <v>300</v>
      </c>
      <c r="D88" s="106">
        <f>[4]Amortizaciones!D30</f>
        <v>0</v>
      </c>
      <c r="E88" s="77" t="s">
        <v>301</v>
      </c>
      <c r="F88" s="78" t="s">
        <v>302</v>
      </c>
      <c r="G88" s="79">
        <v>28492</v>
      </c>
    </row>
    <row r="89" spans="2:7">
      <c r="B89" s="18" t="s">
        <v>303</v>
      </c>
      <c r="C89" s="106" t="s">
        <v>212</v>
      </c>
      <c r="D89" s="106">
        <f>[4]Amortizaciones!D31</f>
        <v>0</v>
      </c>
      <c r="E89" s="77" t="s">
        <v>304</v>
      </c>
      <c r="F89" s="78" t="s">
        <v>305</v>
      </c>
      <c r="G89" s="79">
        <v>15479245</v>
      </c>
    </row>
    <row r="90" spans="2:7" ht="14.25" customHeight="1">
      <c r="B90" s="18" t="s">
        <v>306</v>
      </c>
      <c r="C90" s="106" t="s">
        <v>228</v>
      </c>
      <c r="D90" s="106">
        <f>[4]Amortizaciones!D32</f>
        <v>0</v>
      </c>
      <c r="E90" s="77" t="s">
        <v>307</v>
      </c>
      <c r="F90" s="78" t="s">
        <v>308</v>
      </c>
      <c r="G90" s="79">
        <v>0</v>
      </c>
    </row>
    <row r="91" spans="2:7" ht="14.25" customHeight="1">
      <c r="B91" s="18" t="s">
        <v>309</v>
      </c>
      <c r="C91" s="106" t="s">
        <v>310</v>
      </c>
      <c r="D91" s="106">
        <f>SUM(D80:D90)</f>
        <v>3531993</v>
      </c>
      <c r="E91" s="108" t="s">
        <v>311</v>
      </c>
      <c r="F91" s="78" t="s">
        <v>312</v>
      </c>
      <c r="G91" s="79">
        <v>0</v>
      </c>
    </row>
    <row r="92" spans="2:7" ht="14.25" customHeight="1">
      <c r="B92" s="18"/>
      <c r="C92" s="109" t="s">
        <v>313</v>
      </c>
      <c r="D92" s="106">
        <f>D77+D91</f>
        <v>27748045</v>
      </c>
      <c r="E92" s="108" t="s">
        <v>314</v>
      </c>
      <c r="F92" s="78" t="s">
        <v>315</v>
      </c>
      <c r="G92" s="79">
        <v>0</v>
      </c>
    </row>
    <row r="93" spans="2:7">
      <c r="C93" s="104"/>
      <c r="D93" s="104"/>
      <c r="E93" s="108" t="s">
        <v>316</v>
      </c>
      <c r="F93" s="78" t="s">
        <v>317</v>
      </c>
      <c r="G93" s="79">
        <v>557777</v>
      </c>
    </row>
    <row r="94" spans="2:7">
      <c r="C94" s="104"/>
      <c r="D94" s="104"/>
      <c r="E94" s="108" t="s">
        <v>318</v>
      </c>
      <c r="F94" s="78" t="s">
        <v>319</v>
      </c>
      <c r="G94" s="84">
        <v>2318028</v>
      </c>
    </row>
    <row r="95" spans="2:7" ht="13.5" customHeight="1" thickBot="1">
      <c r="C95" s="104"/>
      <c r="D95" s="104"/>
      <c r="E95" s="77"/>
      <c r="F95" s="85" t="s">
        <v>320</v>
      </c>
      <c r="G95" s="86">
        <f>SUM(G80:G94)</f>
        <v>73848954</v>
      </c>
    </row>
    <row r="96" spans="2:7">
      <c r="C96" s="104"/>
      <c r="D96" s="104"/>
      <c r="E96" s="108" t="s">
        <v>321</v>
      </c>
      <c r="F96" s="80" t="s">
        <v>322</v>
      </c>
      <c r="G96" s="81">
        <v>1112503</v>
      </c>
    </row>
    <row r="97" spans="2:7">
      <c r="C97" s="104"/>
      <c r="D97" s="104"/>
      <c r="E97" s="108" t="s">
        <v>323</v>
      </c>
      <c r="F97" s="78" t="s">
        <v>324</v>
      </c>
      <c r="G97" s="79">
        <v>3227590</v>
      </c>
    </row>
    <row r="98" spans="2:7">
      <c r="C98" s="104"/>
      <c r="D98" s="104"/>
      <c r="E98" s="108" t="s">
        <v>325</v>
      </c>
      <c r="F98" s="78" t="s">
        <v>326</v>
      </c>
      <c r="G98" s="79">
        <v>103448</v>
      </c>
    </row>
    <row r="99" spans="2:7">
      <c r="C99" s="104"/>
      <c r="D99" s="104"/>
      <c r="E99" s="108" t="s">
        <v>327</v>
      </c>
      <c r="F99" s="78" t="s">
        <v>328</v>
      </c>
      <c r="G99" s="79">
        <v>7933328</v>
      </c>
    </row>
    <row r="100" spans="2:7">
      <c r="C100" s="104"/>
      <c r="D100" s="104"/>
      <c r="E100" s="108" t="s">
        <v>329</v>
      </c>
      <c r="F100" s="78" t="s">
        <v>330</v>
      </c>
      <c r="G100" s="84">
        <f>429604+6</f>
        <v>429610</v>
      </c>
    </row>
    <row r="101" spans="2:7" ht="12.75" customHeight="1" thickBot="1">
      <c r="C101" s="104"/>
      <c r="D101" s="104"/>
      <c r="E101" s="77"/>
      <c r="F101" s="85" t="s">
        <v>331</v>
      </c>
      <c r="G101" s="86">
        <f>SUM(G96:G100)</f>
        <v>12806479</v>
      </c>
    </row>
    <row r="102" spans="2:7" ht="12.75" customHeight="1" thickBot="1">
      <c r="C102" s="104"/>
      <c r="D102" s="104"/>
      <c r="E102" s="108"/>
      <c r="F102" s="110" t="s">
        <v>332</v>
      </c>
      <c r="G102" s="111">
        <f>[4]Amortizaciones!D19</f>
        <v>24216052</v>
      </c>
    </row>
    <row r="103" spans="2:7">
      <c r="C103" s="104"/>
      <c r="D103" s="104"/>
      <c r="E103" s="108" t="s">
        <v>333</v>
      </c>
      <c r="F103" s="78" t="s">
        <v>334</v>
      </c>
      <c r="G103" s="81">
        <v>0</v>
      </c>
    </row>
    <row r="104" spans="2:7">
      <c r="C104" s="104"/>
      <c r="D104" s="104"/>
      <c r="E104" s="108" t="s">
        <v>335</v>
      </c>
      <c r="F104" s="112" t="s">
        <v>336</v>
      </c>
      <c r="G104" s="79">
        <v>0</v>
      </c>
    </row>
    <row r="105" spans="2:7" ht="14.25" customHeight="1" thickBot="1">
      <c r="C105" s="104"/>
      <c r="D105" s="104"/>
      <c r="E105" s="77"/>
      <c r="F105" s="85" t="s">
        <v>337</v>
      </c>
      <c r="G105" s="86">
        <f>SUM(G103:G104)</f>
        <v>0</v>
      </c>
    </row>
    <row r="106" spans="2:7" ht="14.25" customHeight="1" thickBot="1">
      <c r="B106" s="5"/>
      <c r="C106" s="113"/>
      <c r="D106" s="113"/>
      <c r="E106" s="108"/>
      <c r="F106" s="72" t="s">
        <v>338</v>
      </c>
      <c r="G106" s="103">
        <f>G19+G27+G32+G48+G57+G79+G95+G101+G102+G105</f>
        <v>2987317165</v>
      </c>
    </row>
    <row r="107" spans="2:7" ht="5.25" customHeight="1">
      <c r="B107" s="5"/>
      <c r="C107" s="113"/>
      <c r="D107" s="113"/>
      <c r="E107" s="77"/>
      <c r="F107" s="114"/>
      <c r="G107" s="115"/>
    </row>
    <row r="108" spans="2:7" ht="5.25" customHeight="1" thickBot="1">
      <c r="B108" s="5"/>
      <c r="C108" s="113"/>
      <c r="D108" s="113"/>
      <c r="E108" s="77"/>
      <c r="F108" s="116"/>
      <c r="G108" s="116"/>
    </row>
    <row r="109" spans="2:7" ht="16.5" customHeight="1" thickBot="1">
      <c r="B109" s="5"/>
      <c r="C109" s="113"/>
      <c r="D109" s="113"/>
      <c r="E109" s="77"/>
      <c r="F109" s="72" t="s">
        <v>339</v>
      </c>
      <c r="G109" s="103">
        <f>D61-G106</f>
        <v>158129480.65999985</v>
      </c>
    </row>
    <row r="110" spans="2:7" ht="6.75" customHeight="1" thickBot="1">
      <c r="B110" s="5"/>
      <c r="C110" s="117"/>
      <c r="D110" s="117"/>
      <c r="E110" s="77"/>
      <c r="F110" s="116"/>
      <c r="G110" s="116"/>
    </row>
    <row r="111" spans="2:7" ht="15" customHeight="1" thickBot="1">
      <c r="C111" s="72" t="s">
        <v>269</v>
      </c>
      <c r="D111" s="118">
        <f>+[4]E.S.P.!D6</f>
        <v>2021</v>
      </c>
      <c r="E111" s="108"/>
      <c r="F111" s="72" t="s">
        <v>340</v>
      </c>
      <c r="G111" s="118">
        <f>+[4]E.S.P.!D6</f>
        <v>2021</v>
      </c>
    </row>
    <row r="112" spans="2:7" ht="13.7" customHeight="1">
      <c r="B112" s="5" t="s">
        <v>341</v>
      </c>
      <c r="C112" s="119" t="s">
        <v>342</v>
      </c>
      <c r="D112" s="120">
        <v>2868871</v>
      </c>
      <c r="E112" s="77" t="s">
        <v>343</v>
      </c>
      <c r="F112" s="119" t="s">
        <v>308</v>
      </c>
      <c r="G112" s="120">
        <v>669137</v>
      </c>
    </row>
    <row r="113" spans="2:7" ht="13.7" customHeight="1">
      <c r="B113" s="5" t="s">
        <v>344</v>
      </c>
      <c r="C113" s="121" t="s">
        <v>345</v>
      </c>
      <c r="D113" s="122">
        <v>92774808</v>
      </c>
      <c r="E113" s="77" t="s">
        <v>346</v>
      </c>
      <c r="F113" s="121" t="s">
        <v>347</v>
      </c>
      <c r="G113" s="122">
        <v>0</v>
      </c>
    </row>
    <row r="114" spans="2:7" ht="13.7" customHeight="1">
      <c r="B114" s="5" t="s">
        <v>348</v>
      </c>
      <c r="C114" s="121" t="s">
        <v>48</v>
      </c>
      <c r="D114" s="122"/>
      <c r="E114" s="77" t="s">
        <v>349</v>
      </c>
      <c r="F114" s="121" t="s">
        <v>350</v>
      </c>
      <c r="G114" s="122">
        <v>0</v>
      </c>
    </row>
    <row r="115" spans="2:7" ht="13.7" customHeight="1">
      <c r="B115" s="5" t="s">
        <v>351</v>
      </c>
      <c r="C115" s="121" t="s">
        <v>352</v>
      </c>
      <c r="D115" s="122">
        <v>120548</v>
      </c>
      <c r="E115" s="77" t="s">
        <v>353</v>
      </c>
      <c r="F115" s="121" t="s">
        <v>354</v>
      </c>
      <c r="G115" s="122">
        <v>2813316</v>
      </c>
    </row>
    <row r="116" spans="2:7" ht="13.7" customHeight="1">
      <c r="B116" s="5" t="s">
        <v>355</v>
      </c>
      <c r="C116" s="121" t="s">
        <v>356</v>
      </c>
      <c r="D116" s="122">
        <f>4003542-1297+52993+209348</f>
        <v>4264586</v>
      </c>
      <c r="E116" s="77" t="s">
        <v>357</v>
      </c>
      <c r="F116" s="121" t="s">
        <v>358</v>
      </c>
      <c r="G116" s="122">
        <v>0</v>
      </c>
    </row>
    <row r="117" spans="2:7" ht="13.7" customHeight="1">
      <c r="B117" s="5" t="s">
        <v>359</v>
      </c>
      <c r="C117" s="121" t="s">
        <v>360</v>
      </c>
      <c r="D117" s="122"/>
      <c r="E117" s="77" t="s">
        <v>361</v>
      </c>
      <c r="F117" s="121" t="s">
        <v>362</v>
      </c>
      <c r="G117" s="122">
        <v>11000</v>
      </c>
    </row>
    <row r="118" spans="2:7" ht="13.7" customHeight="1">
      <c r="B118" s="5" t="s">
        <v>363</v>
      </c>
      <c r="C118" s="121" t="s">
        <v>364</v>
      </c>
      <c r="D118" s="122">
        <v>0</v>
      </c>
      <c r="E118" s="77" t="s">
        <v>365</v>
      </c>
      <c r="F118" s="121" t="s">
        <v>366</v>
      </c>
      <c r="G118" s="122">
        <v>38670</v>
      </c>
    </row>
    <row r="119" spans="2:7" ht="13.7" customHeight="1">
      <c r="B119" s="5" t="s">
        <v>367</v>
      </c>
      <c r="C119" s="121" t="s">
        <v>368</v>
      </c>
      <c r="D119" s="122">
        <v>1036403</v>
      </c>
      <c r="E119" s="77" t="s">
        <v>369</v>
      </c>
      <c r="F119" s="121" t="s">
        <v>370</v>
      </c>
      <c r="G119" s="122">
        <v>0</v>
      </c>
    </row>
    <row r="120" spans="2:7" ht="13.7" customHeight="1">
      <c r="B120" s="5" t="s">
        <v>371</v>
      </c>
      <c r="C120" s="121" t="s">
        <v>372</v>
      </c>
      <c r="D120" s="122">
        <v>0</v>
      </c>
      <c r="E120" s="77" t="s">
        <v>373</v>
      </c>
      <c r="F120" s="121" t="s">
        <v>374</v>
      </c>
      <c r="G120" s="122">
        <v>0</v>
      </c>
    </row>
    <row r="121" spans="2:7" ht="13.7" customHeight="1">
      <c r="B121" s="5" t="s">
        <v>375</v>
      </c>
      <c r="C121" s="78" t="s">
        <v>376</v>
      </c>
      <c r="D121" s="122">
        <v>3569729</v>
      </c>
      <c r="E121" s="77" t="s">
        <v>377</v>
      </c>
      <c r="F121" s="121" t="s">
        <v>378</v>
      </c>
      <c r="G121" s="122">
        <f>13170385+2585570</f>
        <v>15755955</v>
      </c>
    </row>
    <row r="122" spans="2:7" ht="13.7" customHeight="1" thickBot="1">
      <c r="B122" s="5"/>
      <c r="C122" s="85" t="s">
        <v>379</v>
      </c>
      <c r="D122" s="94">
        <f>SUM(D112:D121)</f>
        <v>104634945</v>
      </c>
      <c r="E122" s="77" t="s">
        <v>380</v>
      </c>
      <c r="F122" s="78" t="s">
        <v>381</v>
      </c>
      <c r="G122" s="79">
        <v>359822</v>
      </c>
    </row>
    <row r="123" spans="2:7" ht="13.7" customHeight="1" thickBot="1">
      <c r="B123" s="5" t="s">
        <v>382</v>
      </c>
      <c r="C123" s="123" t="s">
        <v>308</v>
      </c>
      <c r="D123" s="120">
        <v>8039109</v>
      </c>
      <c r="E123" s="108"/>
      <c r="F123" s="85" t="s">
        <v>383</v>
      </c>
      <c r="G123" s="94">
        <f>SUM(G112:G122)</f>
        <v>19647900</v>
      </c>
    </row>
    <row r="124" spans="2:7" ht="13.7" customHeight="1">
      <c r="B124" s="5" t="s">
        <v>384</v>
      </c>
      <c r="C124" s="121" t="s">
        <v>312</v>
      </c>
      <c r="D124" s="122">
        <v>3096524</v>
      </c>
      <c r="E124" s="77" t="s">
        <v>385</v>
      </c>
      <c r="F124" s="121" t="s">
        <v>386</v>
      </c>
      <c r="G124" s="122">
        <v>1346344</v>
      </c>
    </row>
    <row r="125" spans="2:7" ht="13.7" customHeight="1">
      <c r="B125" s="5" t="s">
        <v>387</v>
      </c>
      <c r="C125" s="78" t="s">
        <v>388</v>
      </c>
      <c r="D125" s="122">
        <v>378235</v>
      </c>
      <c r="E125" s="77" t="s">
        <v>389</v>
      </c>
      <c r="F125" s="121" t="s">
        <v>390</v>
      </c>
      <c r="G125" s="122">
        <v>1014090</v>
      </c>
    </row>
    <row r="126" spans="2:7" ht="13.7" customHeight="1" thickBot="1">
      <c r="B126" s="5"/>
      <c r="C126" s="85" t="s">
        <v>391</v>
      </c>
      <c r="D126" s="94">
        <f>SUM(D123:D125)</f>
        <v>11513868</v>
      </c>
      <c r="E126" s="77" t="s">
        <v>392</v>
      </c>
      <c r="F126" s="121" t="s">
        <v>393</v>
      </c>
      <c r="G126" s="122">
        <v>0</v>
      </c>
    </row>
    <row r="127" spans="2:7" ht="13.7" customHeight="1">
      <c r="B127" s="5" t="s">
        <v>394</v>
      </c>
      <c r="C127" s="119" t="s">
        <v>273</v>
      </c>
      <c r="D127" s="120">
        <v>10243144</v>
      </c>
      <c r="E127" s="77" t="s">
        <v>395</v>
      </c>
      <c r="F127" s="121" t="s">
        <v>396</v>
      </c>
      <c r="G127" s="122">
        <v>0</v>
      </c>
    </row>
    <row r="128" spans="2:7" ht="13.7" customHeight="1">
      <c r="B128" s="5" t="s">
        <v>397</v>
      </c>
      <c r="C128" s="121" t="s">
        <v>398</v>
      </c>
      <c r="D128" s="122">
        <v>5095159</v>
      </c>
      <c r="E128" s="77" t="s">
        <v>399</v>
      </c>
      <c r="F128" s="121" t="s">
        <v>400</v>
      </c>
      <c r="G128" s="122">
        <v>0</v>
      </c>
    </row>
    <row r="129" spans="2:7" ht="13.7" customHeight="1">
      <c r="B129" s="5" t="s">
        <v>401</v>
      </c>
      <c r="C129" s="121" t="s">
        <v>276</v>
      </c>
      <c r="D129" s="122">
        <v>11467855</v>
      </c>
      <c r="E129" s="77" t="s">
        <v>402</v>
      </c>
      <c r="F129" s="121" t="s">
        <v>403</v>
      </c>
      <c r="G129" s="122">
        <f>5853287-9380</f>
        <v>5843907</v>
      </c>
    </row>
    <row r="130" spans="2:7" ht="13.7" customHeight="1">
      <c r="B130" s="5" t="s">
        <v>404</v>
      </c>
      <c r="C130" s="121" t="s">
        <v>282</v>
      </c>
      <c r="D130" s="122">
        <v>2050620</v>
      </c>
      <c r="E130" s="77" t="s">
        <v>405</v>
      </c>
      <c r="F130" s="121" t="s">
        <v>406</v>
      </c>
      <c r="G130" s="122">
        <v>0</v>
      </c>
    </row>
    <row r="131" spans="2:7" ht="13.7" customHeight="1">
      <c r="B131" s="5" t="s">
        <v>407</v>
      </c>
      <c r="C131" s="121" t="s">
        <v>286</v>
      </c>
      <c r="D131" s="122">
        <v>1493431</v>
      </c>
      <c r="E131" s="77" t="s">
        <v>408</v>
      </c>
      <c r="F131" s="121" t="s">
        <v>409</v>
      </c>
      <c r="G131" s="122">
        <v>0</v>
      </c>
    </row>
    <row r="132" spans="2:7" ht="13.7" customHeight="1">
      <c r="B132" s="5" t="s">
        <v>410</v>
      </c>
      <c r="C132" s="121" t="s">
        <v>290</v>
      </c>
      <c r="D132" s="122">
        <v>408889</v>
      </c>
      <c r="E132" s="77" t="s">
        <v>411</v>
      </c>
      <c r="F132" s="121" t="s">
        <v>412</v>
      </c>
      <c r="G132" s="122"/>
    </row>
    <row r="133" spans="2:7" ht="13.7" customHeight="1">
      <c r="B133" s="5" t="s">
        <v>413</v>
      </c>
      <c r="C133" s="121" t="s">
        <v>294</v>
      </c>
      <c r="D133" s="122">
        <v>129789</v>
      </c>
      <c r="E133" s="77" t="s">
        <v>414</v>
      </c>
      <c r="F133" s="121" t="s">
        <v>415</v>
      </c>
      <c r="G133" s="122">
        <v>3020740</v>
      </c>
    </row>
    <row r="134" spans="2:7" ht="13.7" customHeight="1">
      <c r="B134" s="5" t="s">
        <v>416</v>
      </c>
      <c r="C134" s="121" t="s">
        <v>417</v>
      </c>
      <c r="D134" s="122">
        <v>5772033</v>
      </c>
      <c r="E134" s="77" t="s">
        <v>418</v>
      </c>
      <c r="F134" s="121" t="s">
        <v>419</v>
      </c>
      <c r="G134" s="122">
        <v>94713</v>
      </c>
    </row>
    <row r="135" spans="2:7" ht="13.7" customHeight="1">
      <c r="B135" s="5" t="s">
        <v>420</v>
      </c>
      <c r="C135" s="121" t="s">
        <v>421</v>
      </c>
      <c r="D135" s="122">
        <v>12319585</v>
      </c>
      <c r="E135" s="77" t="s">
        <v>422</v>
      </c>
      <c r="F135" s="121" t="s">
        <v>423</v>
      </c>
      <c r="G135" s="122">
        <v>0</v>
      </c>
    </row>
    <row r="136" spans="2:7" ht="13.7" customHeight="1">
      <c r="B136" s="5" t="s">
        <v>424</v>
      </c>
      <c r="C136" s="121" t="s">
        <v>317</v>
      </c>
      <c r="D136" s="122">
        <v>3327284</v>
      </c>
      <c r="E136" s="77" t="s">
        <v>425</v>
      </c>
      <c r="F136" s="121" t="s">
        <v>426</v>
      </c>
      <c r="G136" s="122">
        <v>0</v>
      </c>
    </row>
    <row r="137" spans="2:7" ht="13.7" customHeight="1">
      <c r="B137" s="5" t="s">
        <v>427</v>
      </c>
      <c r="C137" s="78" t="s">
        <v>319</v>
      </c>
      <c r="D137" s="124">
        <v>1850055</v>
      </c>
      <c r="E137" s="77" t="s">
        <v>428</v>
      </c>
      <c r="F137" s="121" t="s">
        <v>429</v>
      </c>
      <c r="G137" s="122">
        <v>22967756</v>
      </c>
    </row>
    <row r="138" spans="2:7" ht="13.7" customHeight="1" thickBot="1">
      <c r="B138" s="5"/>
      <c r="C138" s="85" t="s">
        <v>320</v>
      </c>
      <c r="D138" s="94">
        <f>SUM(D127:D137)</f>
        <v>54157844</v>
      </c>
      <c r="E138" s="77" t="s">
        <v>430</v>
      </c>
      <c r="F138" s="78" t="s">
        <v>431</v>
      </c>
      <c r="G138" s="79">
        <v>342724</v>
      </c>
    </row>
    <row r="139" spans="2:7" ht="13.7" customHeight="1" thickBot="1">
      <c r="B139" s="5" t="s">
        <v>432</v>
      </c>
      <c r="C139" s="119" t="s">
        <v>326</v>
      </c>
      <c r="D139" s="120">
        <v>0</v>
      </c>
      <c r="E139" s="125"/>
      <c r="F139" s="85" t="s">
        <v>433</v>
      </c>
      <c r="G139" s="94">
        <f>SUM(G124:G138)</f>
        <v>34630274</v>
      </c>
    </row>
    <row r="140" spans="2:7" ht="13.7" customHeight="1" thickBot="1">
      <c r="B140" s="5" t="s">
        <v>434</v>
      </c>
      <c r="C140" s="121" t="s">
        <v>328</v>
      </c>
      <c r="D140" s="122">
        <v>3982213</v>
      </c>
      <c r="E140" s="125"/>
      <c r="F140" s="110" t="s">
        <v>435</v>
      </c>
      <c r="G140" s="126">
        <f>G123-G139</f>
        <v>-14982374</v>
      </c>
    </row>
    <row r="141" spans="2:7" ht="13.7" customHeight="1">
      <c r="B141" s="5" t="s">
        <v>436</v>
      </c>
      <c r="C141" s="78" t="s">
        <v>330</v>
      </c>
      <c r="D141" s="124">
        <v>133613</v>
      </c>
      <c r="E141" s="127"/>
      <c r="F141" s="116"/>
      <c r="G141" s="116"/>
    </row>
    <row r="142" spans="2:7" ht="13.7" customHeight="1" thickBot="1">
      <c r="B142" s="5"/>
      <c r="C142" s="85" t="s">
        <v>331</v>
      </c>
      <c r="D142" s="94">
        <f>SUM(D139:D141)</f>
        <v>4115826</v>
      </c>
      <c r="E142" s="127"/>
      <c r="F142" s="116"/>
      <c r="G142" s="116"/>
    </row>
    <row r="143" spans="2:7" ht="13.5" customHeight="1" thickBot="1">
      <c r="B143" s="5"/>
      <c r="C143" s="110" t="s">
        <v>332</v>
      </c>
      <c r="D143" s="126">
        <f>[4]Amortizaciones!D33</f>
        <v>3531993</v>
      </c>
      <c r="E143" s="77"/>
      <c r="F143" s="72" t="s">
        <v>437</v>
      </c>
      <c r="G143" s="118">
        <f>+[4]E.S.P.!D6</f>
        <v>2021</v>
      </c>
    </row>
    <row r="144" spans="2:7" ht="13.7" customHeight="1">
      <c r="B144" s="5" t="s">
        <v>438</v>
      </c>
      <c r="C144" s="119" t="s">
        <v>439</v>
      </c>
      <c r="D144" s="120">
        <v>4306779</v>
      </c>
      <c r="E144" s="77" t="s">
        <v>440</v>
      </c>
      <c r="F144" s="119" t="s">
        <v>441</v>
      </c>
      <c r="G144" s="120">
        <v>0</v>
      </c>
    </row>
    <row r="145" spans="2:7" ht="13.7" customHeight="1">
      <c r="B145" s="5" t="s">
        <v>442</v>
      </c>
      <c r="C145" s="121" t="s">
        <v>443</v>
      </c>
      <c r="D145" s="122">
        <v>104330</v>
      </c>
      <c r="E145" s="77" t="s">
        <v>444</v>
      </c>
      <c r="F145" s="121" t="s">
        <v>445</v>
      </c>
      <c r="G145" s="122">
        <v>0</v>
      </c>
    </row>
    <row r="146" spans="2:7" ht="13.7" customHeight="1">
      <c r="B146" s="5" t="s">
        <v>446</v>
      </c>
      <c r="C146" s="128" t="s">
        <v>447</v>
      </c>
      <c r="D146" s="122">
        <v>0</v>
      </c>
      <c r="E146" s="77" t="s">
        <v>448</v>
      </c>
      <c r="F146" s="121" t="s">
        <v>449</v>
      </c>
      <c r="G146" s="122">
        <v>0</v>
      </c>
    </row>
    <row r="147" spans="2:7" ht="13.7" customHeight="1">
      <c r="B147" s="5" t="s">
        <v>450</v>
      </c>
      <c r="C147" s="78" t="s">
        <v>451</v>
      </c>
      <c r="D147" s="124">
        <v>143410</v>
      </c>
      <c r="E147" s="77" t="s">
        <v>452</v>
      </c>
      <c r="F147" s="121" t="s">
        <v>453</v>
      </c>
      <c r="G147" s="122">
        <v>0</v>
      </c>
    </row>
    <row r="148" spans="2:7" ht="13.7" customHeight="1" thickBot="1">
      <c r="B148" s="5"/>
      <c r="C148" s="85" t="s">
        <v>518</v>
      </c>
      <c r="D148" s="94">
        <f>SUM(D144:D147)</f>
        <v>4554519</v>
      </c>
      <c r="E148" s="77" t="s">
        <v>454</v>
      </c>
      <c r="F148" s="121" t="s">
        <v>455</v>
      </c>
      <c r="G148" s="122">
        <v>0</v>
      </c>
    </row>
    <row r="149" spans="2:7" ht="13.7" customHeight="1">
      <c r="B149" s="5" t="s">
        <v>456</v>
      </c>
      <c r="C149" s="119" t="s">
        <v>457</v>
      </c>
      <c r="D149" s="120">
        <v>0</v>
      </c>
      <c r="E149" s="77" t="s">
        <v>458</v>
      </c>
      <c r="F149" s="121" t="s">
        <v>459</v>
      </c>
      <c r="G149" s="122">
        <v>0</v>
      </c>
    </row>
    <row r="150" spans="2:7" ht="13.7" customHeight="1">
      <c r="B150" s="5" t="s">
        <v>460</v>
      </c>
      <c r="C150" s="121" t="s">
        <v>461</v>
      </c>
      <c r="D150" s="122">
        <v>0</v>
      </c>
      <c r="E150" s="77" t="s">
        <v>462</v>
      </c>
      <c r="F150" s="121" t="s">
        <v>463</v>
      </c>
      <c r="G150" s="122">
        <v>0</v>
      </c>
    </row>
    <row r="151" spans="2:7" ht="13.7" customHeight="1">
      <c r="B151" s="5" t="s">
        <v>464</v>
      </c>
      <c r="C151" s="78" t="s">
        <v>465</v>
      </c>
      <c r="D151" s="124">
        <v>0</v>
      </c>
      <c r="E151" s="77" t="s">
        <v>466</v>
      </c>
      <c r="F151" s="121" t="s">
        <v>467</v>
      </c>
      <c r="G151" s="122">
        <v>46613422</v>
      </c>
    </row>
    <row r="152" spans="2:7" ht="13.7" customHeight="1" thickBot="1">
      <c r="B152" s="5"/>
      <c r="C152" s="85" t="s">
        <v>516</v>
      </c>
      <c r="D152" s="94">
        <f>SUM(D149:D151)</f>
        <v>0</v>
      </c>
      <c r="E152" s="77" t="s">
        <v>469</v>
      </c>
      <c r="F152" s="121" t="s">
        <v>470</v>
      </c>
      <c r="G152" s="122">
        <v>0</v>
      </c>
    </row>
    <row r="153" spans="2:7" ht="15" customHeight="1" thickBot="1">
      <c r="B153" s="5"/>
      <c r="C153" s="110" t="s">
        <v>471</v>
      </c>
      <c r="D153" s="129">
        <f>D122+D126+D138+D142+D143+D148+D152</f>
        <v>182508995</v>
      </c>
      <c r="E153" s="77" t="s">
        <v>472</v>
      </c>
      <c r="F153" s="78" t="s">
        <v>473</v>
      </c>
      <c r="G153" s="79">
        <v>0</v>
      </c>
    </row>
    <row r="154" spans="2:7" ht="13.7" customHeight="1" thickBot="1">
      <c r="B154" s="5"/>
      <c r="C154" s="116"/>
      <c r="D154" s="116"/>
      <c r="E154" s="77"/>
      <c r="F154" s="85" t="s">
        <v>474</v>
      </c>
      <c r="G154" s="94">
        <f>SUM(G144:G153)</f>
        <v>46613422</v>
      </c>
    </row>
    <row r="155" spans="2:7" ht="13.5" customHeight="1" thickBot="1">
      <c r="B155" s="5"/>
      <c r="C155" s="72" t="s">
        <v>475</v>
      </c>
      <c r="D155" s="103">
        <f>G109-D153</f>
        <v>-24379514.340000153</v>
      </c>
      <c r="E155" s="77" t="s">
        <v>476</v>
      </c>
      <c r="F155" s="119" t="s">
        <v>477</v>
      </c>
      <c r="G155" s="120">
        <v>35034856</v>
      </c>
    </row>
    <row r="156" spans="2:7" ht="13.7" customHeight="1">
      <c r="C156" s="130"/>
      <c r="D156" s="130"/>
      <c r="E156" s="77" t="s">
        <v>478</v>
      </c>
      <c r="F156" s="121" t="s">
        <v>479</v>
      </c>
      <c r="G156" s="122">
        <f>36355078+1052523</f>
        <v>37407601</v>
      </c>
    </row>
    <row r="157" spans="2:7" ht="13.7" customHeight="1">
      <c r="C157" s="130"/>
      <c r="D157" s="130"/>
      <c r="E157" s="77" t="s">
        <v>480</v>
      </c>
      <c r="F157" s="121" t="s">
        <v>481</v>
      </c>
      <c r="G157" s="122">
        <v>0</v>
      </c>
    </row>
    <row r="158" spans="2:7" ht="13.7" customHeight="1">
      <c r="C158" s="130"/>
      <c r="D158" s="130"/>
      <c r="E158" s="77" t="s">
        <v>482</v>
      </c>
      <c r="F158" s="121" t="s">
        <v>483</v>
      </c>
      <c r="G158" s="122">
        <v>0</v>
      </c>
    </row>
    <row r="159" spans="2:7" ht="13.7" customHeight="1">
      <c r="C159" s="130"/>
      <c r="D159" s="130"/>
      <c r="E159" s="77" t="s">
        <v>484</v>
      </c>
      <c r="F159" s="121" t="s">
        <v>485</v>
      </c>
      <c r="G159" s="122">
        <v>2395548</v>
      </c>
    </row>
    <row r="160" spans="2:7" ht="13.7" customHeight="1">
      <c r="C160" s="130"/>
      <c r="D160" s="130"/>
      <c r="E160" s="77" t="s">
        <v>486</v>
      </c>
      <c r="F160" s="121" t="s">
        <v>487</v>
      </c>
      <c r="G160" s="122">
        <v>24706</v>
      </c>
    </row>
    <row r="161" spans="3:7" ht="13.7" customHeight="1">
      <c r="C161" s="130"/>
      <c r="D161" s="130"/>
      <c r="E161" s="77" t="s">
        <v>488</v>
      </c>
      <c r="F161" s="121" t="s">
        <v>489</v>
      </c>
      <c r="G161" s="122">
        <v>8203516</v>
      </c>
    </row>
    <row r="162" spans="3:7" ht="13.7" customHeight="1">
      <c r="C162" s="130"/>
      <c r="D162" s="130"/>
      <c r="E162" s="77" t="s">
        <v>490</v>
      </c>
      <c r="F162" s="121" t="s">
        <v>491</v>
      </c>
      <c r="G162" s="122">
        <v>0</v>
      </c>
    </row>
    <row r="163" spans="3:7" ht="13.7" customHeight="1">
      <c r="C163" s="130"/>
      <c r="D163" s="130"/>
      <c r="E163" s="77" t="s">
        <v>492</v>
      </c>
      <c r="F163" s="121" t="s">
        <v>493</v>
      </c>
      <c r="G163" s="122">
        <v>0</v>
      </c>
    </row>
    <row r="164" spans="3:7" ht="13.7" customHeight="1">
      <c r="C164" s="130"/>
      <c r="D164" s="130"/>
      <c r="E164" s="77" t="s">
        <v>494</v>
      </c>
      <c r="F164" s="121" t="s">
        <v>495</v>
      </c>
      <c r="G164" s="122">
        <v>0</v>
      </c>
    </row>
    <row r="165" spans="3:7" ht="13.7" customHeight="1">
      <c r="C165" s="130"/>
      <c r="D165" s="130"/>
      <c r="E165" s="77" t="s">
        <v>496</v>
      </c>
      <c r="F165" s="121" t="s">
        <v>497</v>
      </c>
      <c r="G165" s="122">
        <v>0</v>
      </c>
    </row>
    <row r="166" spans="3:7" ht="13.7" customHeight="1">
      <c r="C166" s="130"/>
      <c r="D166" s="130"/>
      <c r="E166" s="77" t="s">
        <v>498</v>
      </c>
      <c r="F166" s="121" t="s">
        <v>499</v>
      </c>
      <c r="G166" s="122">
        <v>0</v>
      </c>
    </row>
    <row r="167" spans="3:7" ht="13.7" customHeight="1">
      <c r="C167" s="130"/>
      <c r="D167" s="130"/>
      <c r="E167" s="77" t="s">
        <v>500</v>
      </c>
      <c r="F167" s="78" t="s">
        <v>501</v>
      </c>
      <c r="G167" s="79">
        <v>0</v>
      </c>
    </row>
    <row r="168" spans="3:7" ht="13.7" customHeight="1" thickBot="1">
      <c r="C168" s="130"/>
      <c r="D168" s="130"/>
      <c r="E168" s="77"/>
      <c r="F168" s="85" t="s">
        <v>502</v>
      </c>
      <c r="G168" s="94">
        <f>SUM(G155:G167)</f>
        <v>83066227</v>
      </c>
    </row>
    <row r="169" spans="3:7" ht="13.7" customHeight="1" thickBot="1">
      <c r="C169" s="130"/>
      <c r="D169" s="130"/>
      <c r="E169" s="77"/>
      <c r="F169" s="110" t="s">
        <v>503</v>
      </c>
      <c r="G169" s="126">
        <f>G154-G168</f>
        <v>-36452805</v>
      </c>
    </row>
    <row r="170" spans="3:7" ht="7.5" customHeight="1" thickBot="1">
      <c r="C170" s="130"/>
      <c r="D170" s="130"/>
      <c r="E170" s="77"/>
      <c r="F170" s="116"/>
      <c r="G170" s="116"/>
    </row>
    <row r="171" spans="3:7" ht="13.7" customHeight="1" thickBot="1">
      <c r="C171" s="130"/>
      <c r="D171" s="130"/>
      <c r="E171" s="77"/>
      <c r="F171" s="72" t="s">
        <v>504</v>
      </c>
      <c r="G171" s="131"/>
    </row>
    <row r="172" spans="3:7" ht="13.7" customHeight="1" thickBot="1">
      <c r="C172" s="130"/>
      <c r="D172" s="130"/>
      <c r="E172" s="77"/>
      <c r="F172" s="132"/>
      <c r="G172" s="133">
        <f>+D155+G140+G169</f>
        <v>-75814693.340000153</v>
      </c>
    </row>
    <row r="173" spans="3:7" ht="9" customHeight="1" thickBot="1">
      <c r="C173" s="130"/>
      <c r="D173" s="130"/>
      <c r="E173" s="77"/>
      <c r="F173" s="134"/>
      <c r="G173" s="135"/>
    </row>
    <row r="174" spans="3:7" ht="15" customHeight="1" thickBot="1">
      <c r="C174" s="130"/>
      <c r="D174" s="130"/>
      <c r="E174" s="77"/>
      <c r="F174" s="72" t="s">
        <v>505</v>
      </c>
      <c r="G174" s="118">
        <f>+G143</f>
        <v>2021</v>
      </c>
    </row>
    <row r="175" spans="3:7" ht="13.7" customHeight="1">
      <c r="C175" s="130"/>
      <c r="D175" s="130"/>
      <c r="E175" s="77"/>
      <c r="F175" s="119" t="s">
        <v>506</v>
      </c>
      <c r="G175" s="120">
        <v>0</v>
      </c>
    </row>
    <row r="176" spans="3:7" ht="13.7" customHeight="1">
      <c r="C176" s="130"/>
      <c r="D176" s="130"/>
      <c r="E176" s="77"/>
      <c r="F176" s="121" t="s">
        <v>507</v>
      </c>
      <c r="G176" s="122">
        <v>0</v>
      </c>
    </row>
    <row r="177" spans="1:8" ht="13.7" customHeight="1" thickBot="1">
      <c r="C177" s="130"/>
      <c r="D177" s="130"/>
      <c r="E177" s="77"/>
      <c r="F177" s="121" t="s">
        <v>508</v>
      </c>
      <c r="G177" s="122">
        <v>0</v>
      </c>
    </row>
    <row r="178" spans="1:8" ht="13.7" customHeight="1" thickBot="1">
      <c r="C178" s="130"/>
      <c r="D178" s="130"/>
      <c r="E178" s="77"/>
      <c r="F178" s="72" t="s">
        <v>509</v>
      </c>
      <c r="G178" s="103">
        <f>SUM(G175:G177)</f>
        <v>0</v>
      </c>
    </row>
    <row r="179" spans="1:8" ht="9.75" customHeight="1" thickBot="1">
      <c r="C179" s="130"/>
      <c r="D179" s="130"/>
      <c r="E179" s="77"/>
      <c r="F179" s="116"/>
      <c r="G179" s="116"/>
    </row>
    <row r="180" spans="1:8" ht="14.25" customHeight="1" thickBot="1">
      <c r="C180" s="130"/>
      <c r="D180" s="130"/>
      <c r="E180" s="77"/>
      <c r="F180" s="72" t="s">
        <v>519</v>
      </c>
      <c r="G180" s="131"/>
    </row>
    <row r="181" spans="1:8" ht="16.5" customHeight="1" thickBot="1">
      <c r="C181" s="130"/>
      <c r="D181" s="130"/>
      <c r="E181" s="77"/>
      <c r="F181" s="132"/>
      <c r="G181" s="133">
        <f>+G172+G178</f>
        <v>-75814693.340000153</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516" priority="8" stopIfTrue="1" operator="greaterThan">
      <formula>50</formula>
    </cfRule>
    <cfRule type="cellIs" dxfId="515" priority="17" stopIfTrue="1" operator="equal">
      <formula>0</formula>
    </cfRule>
  </conditionalFormatting>
  <conditionalFormatting sqref="D7:D61">
    <cfRule type="cellIs" dxfId="514" priority="15" stopIfTrue="1" operator="between">
      <formula>-0.1</formula>
      <formula>-50</formula>
    </cfRule>
    <cfRule type="cellIs" dxfId="513" priority="16" stopIfTrue="1" operator="between">
      <formula>0.1</formula>
      <formula>50</formula>
    </cfRule>
  </conditionalFormatting>
  <conditionalFormatting sqref="G152:G181 G7:G150">
    <cfRule type="cellIs" dxfId="512" priority="13" stopIfTrue="1" operator="between">
      <formula>-0.1</formula>
      <formula>-50</formula>
    </cfRule>
    <cfRule type="cellIs" dxfId="511" priority="14" stopIfTrue="1" operator="between">
      <formula>0.1</formula>
      <formula>50</formula>
    </cfRule>
  </conditionalFormatting>
  <conditionalFormatting sqref="D111:D155">
    <cfRule type="cellIs" dxfId="510" priority="11" stopIfTrue="1" operator="between">
      <formula>-0.1</formula>
      <formula>-50</formula>
    </cfRule>
    <cfRule type="cellIs" dxfId="509" priority="12" stopIfTrue="1" operator="between">
      <formula>0.1</formula>
      <formula>50</formula>
    </cfRule>
  </conditionalFormatting>
  <conditionalFormatting sqref="G165">
    <cfRule type="expression" dxfId="508" priority="10" stopIfTrue="1">
      <formula>AND($G$165&gt;0,$G$151&gt;0)</formula>
    </cfRule>
  </conditionalFormatting>
  <conditionalFormatting sqref="G151">
    <cfRule type="expression" dxfId="507" priority="7"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0" orientation="portrait" r:id="rId1"/>
  <headerFooter alignWithMargins="0"/>
  <rowBreaks count="3" manualBreakCount="3">
    <brk id="79" min="2" max="8" man="1"/>
    <brk id="181" min="2" max="8" man="1"/>
    <brk id="185" min="2" max="8" man="1"/>
  </rowBreaks>
  <ignoredErrors>
    <ignoredError sqref="E7:E1048576" numberStoredAsText="1"/>
    <ignoredError sqref="G156 G129 G121 D116 G100 G77 D42:D46 D36 G23" unlockedFormula="1"/>
    <ignoredError sqref="G40"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6" sqref="C176"/>
    </sheetView>
  </sheetViews>
  <sheetFormatPr baseColWidth="10" defaultColWidth="0" defaultRowHeight="15.75" zeroHeight="1"/>
  <cols>
    <col min="1" max="1" width="3" style="1" customWidth="1"/>
    <col min="2" max="2" width="14.28515625" style="6" hidden="1" customWidth="1"/>
    <col min="3" max="3" width="57.5703125" style="19" customWidth="1"/>
    <col min="4" max="4" width="21" style="19" customWidth="1"/>
    <col min="5" max="5" width="3.85546875" style="13" customWidth="1"/>
    <col min="6" max="6" width="57.28515625" style="19" customWidth="1"/>
    <col min="7" max="7" width="21" style="19" customWidth="1"/>
    <col min="8" max="8" width="3.28515625" style="4" customWidth="1"/>
    <col min="9" max="16384" width="0" style="4" hidden="1"/>
  </cols>
  <sheetData>
    <row r="1" spans="1:9">
      <c r="B1" s="2"/>
      <c r="C1" s="255" t="s">
        <v>0</v>
      </c>
      <c r="D1" s="258"/>
      <c r="E1" s="253" t="str">
        <f>[22]Presentacion!C3</f>
        <v>COMEF - IAMPP</v>
      </c>
      <c r="F1" s="253"/>
      <c r="G1" s="136"/>
      <c r="H1" s="3"/>
    </row>
    <row r="2" spans="1:9">
      <c r="B2" s="5"/>
      <c r="C2" s="255" t="s">
        <v>1</v>
      </c>
      <c r="D2" s="258"/>
      <c r="E2" s="253" t="str">
        <f>[22]Presentacion!C4</f>
        <v>Florida</v>
      </c>
      <c r="F2" s="253"/>
      <c r="G2" s="136"/>
      <c r="H2" s="3"/>
    </row>
    <row r="3" spans="1:9">
      <c r="B3" s="5"/>
      <c r="C3" s="255" t="s">
        <v>2</v>
      </c>
      <c r="D3" s="255"/>
      <c r="E3" s="254" t="s">
        <v>3</v>
      </c>
      <c r="F3" s="254"/>
      <c r="G3" s="136"/>
      <c r="H3" s="3"/>
    </row>
    <row r="4" spans="1:9" ht="10.5" customHeight="1" thickBot="1">
      <c r="C4" s="65"/>
      <c r="D4" s="7"/>
      <c r="E4" s="8"/>
      <c r="F4" s="9"/>
      <c r="G4" s="10"/>
    </row>
    <row r="5" spans="1:9" ht="16.5" customHeight="1" thickBot="1">
      <c r="B5" s="11"/>
      <c r="C5" s="72" t="s">
        <v>4</v>
      </c>
      <c r="D5" s="73" t="s">
        <v>5</v>
      </c>
      <c r="E5" s="137"/>
      <c r="F5" s="72" t="s">
        <v>6</v>
      </c>
      <c r="G5" s="73" t="s">
        <v>5</v>
      </c>
      <c r="I5" s="12"/>
    </row>
    <row r="6" spans="1:9" ht="12.75" customHeight="1" thickBot="1">
      <c r="B6" s="11"/>
      <c r="C6" s="75" t="s">
        <v>7</v>
      </c>
      <c r="D6" s="76">
        <f>+[22]E.S.P.!D6</f>
        <v>2021</v>
      </c>
      <c r="E6" s="138"/>
      <c r="F6" s="75" t="s">
        <v>8</v>
      </c>
      <c r="G6" s="76">
        <f>+D6</f>
        <v>2021</v>
      </c>
      <c r="H6" s="12"/>
    </row>
    <row r="7" spans="1:9">
      <c r="B7" s="5" t="s">
        <v>9</v>
      </c>
      <c r="C7" s="78" t="s">
        <v>10</v>
      </c>
      <c r="D7" s="79">
        <v>24247608</v>
      </c>
      <c r="E7" s="138" t="s">
        <v>11</v>
      </c>
      <c r="F7" s="80" t="s">
        <v>12</v>
      </c>
      <c r="G7" s="81">
        <v>9132273</v>
      </c>
    </row>
    <row r="8" spans="1:9">
      <c r="B8" s="5" t="s">
        <v>13</v>
      </c>
      <c r="C8" s="78" t="s">
        <v>14</v>
      </c>
      <c r="D8" s="79">
        <v>42517797</v>
      </c>
      <c r="E8" s="138" t="s">
        <v>15</v>
      </c>
      <c r="F8" s="78" t="s">
        <v>16</v>
      </c>
      <c r="G8" s="82">
        <v>65849317</v>
      </c>
    </row>
    <row r="9" spans="1:9">
      <c r="B9" s="5" t="s">
        <v>17</v>
      </c>
      <c r="C9" s="78" t="s">
        <v>18</v>
      </c>
      <c r="D9" s="79">
        <v>929888966</v>
      </c>
      <c r="E9" s="138" t="s">
        <v>19</v>
      </c>
      <c r="F9" s="78" t="s">
        <v>20</v>
      </c>
      <c r="G9" s="79">
        <v>26823815</v>
      </c>
    </row>
    <row r="10" spans="1:9">
      <c r="B10" s="5" t="s">
        <v>21</v>
      </c>
      <c r="C10" s="78" t="s">
        <v>22</v>
      </c>
      <c r="D10" s="79">
        <v>95630253</v>
      </c>
      <c r="E10" s="138" t="s">
        <v>23</v>
      </c>
      <c r="F10" s="78" t="s">
        <v>24</v>
      </c>
      <c r="G10" s="79">
        <v>201166044</v>
      </c>
    </row>
    <row r="11" spans="1:9">
      <c r="B11" s="5" t="s">
        <v>25</v>
      </c>
      <c r="C11" s="78" t="s">
        <v>26</v>
      </c>
      <c r="D11" s="79">
        <v>21515789</v>
      </c>
      <c r="E11" s="138" t="s">
        <v>27</v>
      </c>
      <c r="F11" s="78" t="s">
        <v>28</v>
      </c>
      <c r="G11" s="79">
        <v>56487401</v>
      </c>
    </row>
    <row r="12" spans="1:9">
      <c r="B12" s="5" t="s">
        <v>29</v>
      </c>
      <c r="C12" s="78" t="s">
        <v>30</v>
      </c>
      <c r="D12" s="79">
        <v>19496239</v>
      </c>
      <c r="E12" s="138" t="s">
        <v>31</v>
      </c>
      <c r="F12" s="78" t="s">
        <v>32</v>
      </c>
      <c r="G12" s="79">
        <v>61223160</v>
      </c>
    </row>
    <row r="13" spans="1:9">
      <c r="B13" s="5" t="s">
        <v>33</v>
      </c>
      <c r="C13" s="78" t="s">
        <v>34</v>
      </c>
      <c r="D13" s="79">
        <v>0</v>
      </c>
      <c r="E13" s="138" t="s">
        <v>35</v>
      </c>
      <c r="F13" s="78" t="s">
        <v>36</v>
      </c>
      <c r="G13" s="79">
        <v>20832870</v>
      </c>
    </row>
    <row r="14" spans="1:9">
      <c r="A14" s="14"/>
      <c r="B14" s="5" t="s">
        <v>37</v>
      </c>
      <c r="C14" s="78" t="s">
        <v>38</v>
      </c>
      <c r="D14" s="79">
        <f>8553238-2297399</f>
        <v>6255839</v>
      </c>
      <c r="E14" s="138" t="s">
        <v>39</v>
      </c>
      <c r="F14" s="78" t="s">
        <v>40</v>
      </c>
      <c r="G14" s="79">
        <v>182568769</v>
      </c>
    </row>
    <row r="15" spans="1:9">
      <c r="B15" s="5" t="s">
        <v>41</v>
      </c>
      <c r="C15" s="83" t="s">
        <v>42</v>
      </c>
      <c r="D15" s="79">
        <v>0</v>
      </c>
      <c r="E15" s="138" t="s">
        <v>43</v>
      </c>
      <c r="F15" s="78" t="s">
        <v>44</v>
      </c>
      <c r="G15" s="79">
        <v>84895764</v>
      </c>
    </row>
    <row r="16" spans="1:9">
      <c r="B16" s="5" t="s">
        <v>45</v>
      </c>
      <c r="C16" s="78" t="s">
        <v>46</v>
      </c>
      <c r="D16" s="79">
        <v>0</v>
      </c>
      <c r="E16" s="138" t="s">
        <v>47</v>
      </c>
      <c r="F16" s="78" t="s">
        <v>48</v>
      </c>
      <c r="G16" s="79">
        <v>53017838</v>
      </c>
    </row>
    <row r="17" spans="1:7">
      <c r="B17" s="5" t="s">
        <v>49</v>
      </c>
      <c r="C17" s="78" t="s">
        <v>50</v>
      </c>
      <c r="D17" s="79">
        <v>0</v>
      </c>
      <c r="E17" s="138" t="s">
        <v>51</v>
      </c>
      <c r="F17" s="78" t="s">
        <v>52</v>
      </c>
      <c r="G17" s="79">
        <v>687313</v>
      </c>
    </row>
    <row r="18" spans="1:7">
      <c r="A18" s="14"/>
      <c r="B18" s="5" t="s">
        <v>53</v>
      </c>
      <c r="C18" s="78" t="s">
        <v>54</v>
      </c>
      <c r="D18" s="79">
        <v>0</v>
      </c>
      <c r="E18" s="138" t="s">
        <v>55</v>
      </c>
      <c r="F18" s="78" t="s">
        <v>56</v>
      </c>
      <c r="G18" s="84">
        <v>26510300</v>
      </c>
    </row>
    <row r="19" spans="1:7" ht="16.5" thickBot="1">
      <c r="A19" s="14"/>
      <c r="B19" s="5" t="s">
        <v>57</v>
      </c>
      <c r="C19" s="78" t="s">
        <v>58</v>
      </c>
      <c r="D19" s="79">
        <f>39864429-2377406</f>
        <v>37487023</v>
      </c>
      <c r="E19" s="138"/>
      <c r="F19" s="85" t="s">
        <v>59</v>
      </c>
      <c r="G19" s="86">
        <f>SUM(G7:G18)</f>
        <v>789194864</v>
      </c>
    </row>
    <row r="20" spans="1:7" ht="16.5" thickBot="1">
      <c r="B20" s="5"/>
      <c r="C20" s="85" t="s">
        <v>60</v>
      </c>
      <c r="D20" s="86">
        <f>SUM(D7:D19)</f>
        <v>1177039514</v>
      </c>
      <c r="E20" s="138" t="s">
        <v>61</v>
      </c>
      <c r="F20" s="80" t="s">
        <v>62</v>
      </c>
      <c r="G20" s="81">
        <v>543761</v>
      </c>
    </row>
    <row r="21" spans="1:7">
      <c r="B21" s="5"/>
      <c r="C21" s="87" t="s">
        <v>63</v>
      </c>
      <c r="D21" s="88">
        <f>SUM(D22:D28)</f>
        <v>12378946</v>
      </c>
      <c r="E21" s="138" t="s">
        <v>64</v>
      </c>
      <c r="F21" s="78" t="s">
        <v>65</v>
      </c>
      <c r="G21" s="79">
        <v>21767428</v>
      </c>
    </row>
    <row r="22" spans="1:7">
      <c r="B22" s="5" t="s">
        <v>66</v>
      </c>
      <c r="C22" s="78" t="s">
        <v>67</v>
      </c>
      <c r="D22" s="79">
        <v>5916273</v>
      </c>
      <c r="E22" s="138" t="s">
        <v>68</v>
      </c>
      <c r="F22" s="78" t="s">
        <v>69</v>
      </c>
      <c r="G22" s="79">
        <v>3495224</v>
      </c>
    </row>
    <row r="23" spans="1:7">
      <c r="B23" s="5" t="s">
        <v>70</v>
      </c>
      <c r="C23" s="78" t="s">
        <v>71</v>
      </c>
      <c r="D23" s="79">
        <v>1213295</v>
      </c>
      <c r="E23" s="138" t="s">
        <v>72</v>
      </c>
      <c r="F23" s="78" t="s">
        <v>73</v>
      </c>
      <c r="G23" s="79">
        <v>13299414</v>
      </c>
    </row>
    <row r="24" spans="1:7">
      <c r="B24" s="5" t="s">
        <v>74</v>
      </c>
      <c r="C24" s="78" t="s">
        <v>75</v>
      </c>
      <c r="D24" s="79">
        <v>2973388</v>
      </c>
      <c r="E24" s="138" t="s">
        <v>76</v>
      </c>
      <c r="F24" s="78" t="s">
        <v>77</v>
      </c>
      <c r="G24" s="79">
        <v>3532932</v>
      </c>
    </row>
    <row r="25" spans="1:7">
      <c r="B25" s="5" t="s">
        <v>78</v>
      </c>
      <c r="C25" s="78" t="s">
        <v>79</v>
      </c>
      <c r="D25" s="79">
        <v>1617618</v>
      </c>
      <c r="E25" s="138" t="s">
        <v>80</v>
      </c>
      <c r="F25" s="78" t="s">
        <v>81</v>
      </c>
      <c r="G25" s="79">
        <v>5223430</v>
      </c>
    </row>
    <row r="26" spans="1:7">
      <c r="B26" s="5" t="s">
        <v>82</v>
      </c>
      <c r="C26" s="78" t="s">
        <v>83</v>
      </c>
      <c r="D26" s="79">
        <v>273323</v>
      </c>
      <c r="E26" s="138" t="s">
        <v>84</v>
      </c>
      <c r="F26" s="78" t="s">
        <v>85</v>
      </c>
      <c r="G26" s="84">
        <v>1619901</v>
      </c>
    </row>
    <row r="27" spans="1:7" ht="13.5" customHeight="1" thickBot="1">
      <c r="B27" s="5" t="s">
        <v>86</v>
      </c>
      <c r="C27" s="78" t="s">
        <v>87</v>
      </c>
      <c r="D27" s="79">
        <v>0</v>
      </c>
      <c r="E27" s="138"/>
      <c r="F27" s="85" t="s">
        <v>88</v>
      </c>
      <c r="G27" s="86">
        <f>SUM(G20:G26)</f>
        <v>49482090</v>
      </c>
    </row>
    <row r="28" spans="1:7">
      <c r="B28" s="5" t="s">
        <v>89</v>
      </c>
      <c r="C28" s="78" t="s">
        <v>90</v>
      </c>
      <c r="D28" s="79">
        <v>385049</v>
      </c>
      <c r="E28" s="138" t="s">
        <v>91</v>
      </c>
      <c r="F28" s="80" t="s">
        <v>92</v>
      </c>
      <c r="G28" s="81">
        <v>48315962</v>
      </c>
    </row>
    <row r="29" spans="1:7">
      <c r="B29" s="5"/>
      <c r="C29" s="89" t="s">
        <v>93</v>
      </c>
      <c r="D29" s="88">
        <f>SUM(D30:D34)</f>
        <v>86427004</v>
      </c>
      <c r="E29" s="138" t="s">
        <v>94</v>
      </c>
      <c r="F29" s="78" t="s">
        <v>95</v>
      </c>
      <c r="G29" s="79">
        <v>21519127</v>
      </c>
    </row>
    <row r="30" spans="1:7">
      <c r="B30" s="5" t="s">
        <v>96</v>
      </c>
      <c r="C30" s="78" t="s">
        <v>97</v>
      </c>
      <c r="D30" s="79">
        <v>71607227</v>
      </c>
      <c r="E30" s="138" t="s">
        <v>98</v>
      </c>
      <c r="F30" s="78" t="s">
        <v>99</v>
      </c>
      <c r="G30" s="79">
        <v>0</v>
      </c>
    </row>
    <row r="31" spans="1:7">
      <c r="B31" s="5" t="s">
        <v>100</v>
      </c>
      <c r="C31" s="78" t="s">
        <v>101</v>
      </c>
      <c r="D31" s="79">
        <v>4934463</v>
      </c>
      <c r="E31" s="138" t="s">
        <v>102</v>
      </c>
      <c r="F31" s="78" t="s">
        <v>103</v>
      </c>
      <c r="G31" s="84">
        <v>2339731</v>
      </c>
    </row>
    <row r="32" spans="1:7" ht="16.5" thickBot="1">
      <c r="B32" s="5" t="s">
        <v>104</v>
      </c>
      <c r="C32" s="78" t="s">
        <v>105</v>
      </c>
      <c r="D32" s="79">
        <v>7020305</v>
      </c>
      <c r="E32" s="138"/>
      <c r="F32" s="85" t="s">
        <v>106</v>
      </c>
      <c r="G32" s="86">
        <f>SUM(G28:G31)</f>
        <v>72174820</v>
      </c>
    </row>
    <row r="33" spans="2:7">
      <c r="B33" s="5" t="s">
        <v>107</v>
      </c>
      <c r="C33" s="78" t="s">
        <v>108</v>
      </c>
      <c r="D33" s="79">
        <v>0</v>
      </c>
      <c r="E33" s="138"/>
      <c r="F33" s="89" t="s">
        <v>109</v>
      </c>
      <c r="G33" s="88">
        <f>SUM(G34:G39)</f>
        <v>89186554</v>
      </c>
    </row>
    <row r="34" spans="2:7">
      <c r="B34" s="5" t="s">
        <v>110</v>
      </c>
      <c r="C34" s="78" t="s">
        <v>111</v>
      </c>
      <c r="D34" s="79">
        <v>2865009</v>
      </c>
      <c r="E34" s="138" t="s">
        <v>112</v>
      </c>
      <c r="F34" s="78" t="s">
        <v>113</v>
      </c>
      <c r="G34" s="79">
        <v>3264739</v>
      </c>
    </row>
    <row r="35" spans="2:7" ht="16.5" thickBot="1">
      <c r="B35" s="5"/>
      <c r="C35" s="85" t="s">
        <v>114</v>
      </c>
      <c r="D35" s="86">
        <f>+D21+D29</f>
        <v>98805950</v>
      </c>
      <c r="E35" s="138" t="s">
        <v>115</v>
      </c>
      <c r="F35" s="78" t="s">
        <v>116</v>
      </c>
      <c r="G35" s="79">
        <v>1194952</v>
      </c>
    </row>
    <row r="36" spans="2:7">
      <c r="B36" s="5" t="s">
        <v>117</v>
      </c>
      <c r="C36" s="78" t="s">
        <v>118</v>
      </c>
      <c r="D36" s="79">
        <f>2955438/2+861831</f>
        <v>2339550</v>
      </c>
      <c r="E36" s="138" t="s">
        <v>119</v>
      </c>
      <c r="F36" s="78" t="s">
        <v>517</v>
      </c>
      <c r="G36" s="79">
        <v>1525333</v>
      </c>
    </row>
    <row r="37" spans="2:7">
      <c r="B37" s="5" t="s">
        <v>120</v>
      </c>
      <c r="C37" s="78" t="s">
        <v>121</v>
      </c>
      <c r="D37" s="79">
        <v>1835051</v>
      </c>
      <c r="E37" s="138" t="s">
        <v>122</v>
      </c>
      <c r="F37" s="78" t="s">
        <v>123</v>
      </c>
      <c r="G37" s="79">
        <v>6048939</v>
      </c>
    </row>
    <row r="38" spans="2:7">
      <c r="B38" s="5" t="s">
        <v>124</v>
      </c>
      <c r="C38" s="78" t="s">
        <v>125</v>
      </c>
      <c r="D38" s="79">
        <v>0</v>
      </c>
      <c r="E38" s="138" t="s">
        <v>126</v>
      </c>
      <c r="F38" s="78" t="s">
        <v>127</v>
      </c>
      <c r="G38" s="79">
        <v>11205080</v>
      </c>
    </row>
    <row r="39" spans="2:7">
      <c r="B39" s="5" t="s">
        <v>128</v>
      </c>
      <c r="C39" s="78" t="s">
        <v>129</v>
      </c>
      <c r="D39" s="79">
        <v>0</v>
      </c>
      <c r="E39" s="138" t="s">
        <v>130</v>
      </c>
      <c r="F39" s="78" t="s">
        <v>131</v>
      </c>
      <c r="G39" s="79">
        <v>65947511</v>
      </c>
    </row>
    <row r="40" spans="2:7">
      <c r="B40" s="5" t="s">
        <v>132</v>
      </c>
      <c r="C40" s="78" t="s">
        <v>133</v>
      </c>
      <c r="D40" s="79">
        <f>231297+3282731+48026+24726</f>
        <v>3586780</v>
      </c>
      <c r="E40" s="138"/>
      <c r="F40" s="90" t="s">
        <v>134</v>
      </c>
      <c r="G40" s="91">
        <f>SUM(G41:G46)</f>
        <v>14114471</v>
      </c>
    </row>
    <row r="41" spans="2:7">
      <c r="B41" s="5" t="s">
        <v>135</v>
      </c>
      <c r="C41" s="78" t="s">
        <v>136</v>
      </c>
      <c r="D41" s="79">
        <v>42146452</v>
      </c>
      <c r="E41" s="138" t="s">
        <v>137</v>
      </c>
      <c r="F41" s="78" t="s">
        <v>138</v>
      </c>
      <c r="G41" s="79">
        <v>1904090</v>
      </c>
    </row>
    <row r="42" spans="2:7">
      <c r="B42" s="5" t="s">
        <v>139</v>
      </c>
      <c r="C42" s="78" t="s">
        <v>140</v>
      </c>
      <c r="D42" s="79">
        <f>44552721-2955438/2-2139100+10222874+2297399</f>
        <v>53456175</v>
      </c>
      <c r="E42" s="138" t="s">
        <v>141</v>
      </c>
      <c r="F42" s="78" t="s">
        <v>142</v>
      </c>
      <c r="G42" s="79">
        <v>30161</v>
      </c>
    </row>
    <row r="43" spans="2:7">
      <c r="B43" s="5" t="s">
        <v>143</v>
      </c>
      <c r="C43" s="78" t="s">
        <v>144</v>
      </c>
      <c r="D43" s="79">
        <v>0</v>
      </c>
      <c r="E43" s="138" t="s">
        <v>145</v>
      </c>
      <c r="F43" s="78" t="s">
        <v>146</v>
      </c>
      <c r="G43" s="79">
        <v>1054941</v>
      </c>
    </row>
    <row r="44" spans="2:7">
      <c r="B44" s="5" t="s">
        <v>147</v>
      </c>
      <c r="C44" s="78" t="s">
        <v>148</v>
      </c>
      <c r="D44" s="79"/>
      <c r="E44" s="138" t="s">
        <v>149</v>
      </c>
      <c r="F44" s="78" t="s">
        <v>150</v>
      </c>
      <c r="G44" s="79">
        <v>482686</v>
      </c>
    </row>
    <row r="45" spans="2:7">
      <c r="B45" s="5" t="s">
        <v>151</v>
      </c>
      <c r="C45" s="78" t="s">
        <v>152</v>
      </c>
      <c r="D45" s="79"/>
      <c r="E45" s="138" t="s">
        <v>153</v>
      </c>
      <c r="F45" s="78" t="s">
        <v>154</v>
      </c>
      <c r="G45" s="79">
        <v>1030259</v>
      </c>
    </row>
    <row r="46" spans="2:7">
      <c r="B46" s="5" t="s">
        <v>155</v>
      </c>
      <c r="C46" s="78" t="s">
        <v>156</v>
      </c>
      <c r="D46" s="79">
        <f>2377406+3436548</f>
        <v>5813954</v>
      </c>
      <c r="E46" s="138" t="s">
        <v>157</v>
      </c>
      <c r="F46" s="78" t="s">
        <v>158</v>
      </c>
      <c r="G46" s="79">
        <v>9612334</v>
      </c>
    </row>
    <row r="47" spans="2:7" ht="16.5" thickBot="1">
      <c r="B47" s="5"/>
      <c r="C47" s="85" t="s">
        <v>159</v>
      </c>
      <c r="D47" s="86">
        <f>SUM(D36:D46)</f>
        <v>109177962</v>
      </c>
      <c r="E47" s="138" t="s">
        <v>160</v>
      </c>
      <c r="F47" s="78" t="s">
        <v>161</v>
      </c>
      <c r="G47" s="84">
        <v>3450854</v>
      </c>
    </row>
    <row r="48" spans="2:7" ht="16.5" thickBot="1">
      <c r="B48" s="5"/>
      <c r="C48" s="92" t="s">
        <v>162</v>
      </c>
      <c r="D48" s="93"/>
      <c r="E48" s="138"/>
      <c r="F48" s="85" t="s">
        <v>163</v>
      </c>
      <c r="G48" s="94">
        <f>+G33+G40+G47</f>
        <v>106751879</v>
      </c>
    </row>
    <row r="49" spans="2:7">
      <c r="B49" s="5" t="s">
        <v>164</v>
      </c>
      <c r="C49" s="95" t="s">
        <v>165</v>
      </c>
      <c r="D49" s="96">
        <v>0</v>
      </c>
      <c r="E49" s="138" t="s">
        <v>166</v>
      </c>
      <c r="F49" s="80" t="s">
        <v>167</v>
      </c>
      <c r="G49" s="81">
        <v>20748406</v>
      </c>
    </row>
    <row r="50" spans="2:7">
      <c r="B50" s="5" t="s">
        <v>168</v>
      </c>
      <c r="C50" s="78" t="s">
        <v>162</v>
      </c>
      <c r="D50" s="79">
        <v>8224988</v>
      </c>
      <c r="E50" s="138" t="s">
        <v>169</v>
      </c>
      <c r="F50" s="78" t="s">
        <v>170</v>
      </c>
      <c r="G50" s="79">
        <v>42936093</v>
      </c>
    </row>
    <row r="51" spans="2:7">
      <c r="B51" s="5" t="s">
        <v>171</v>
      </c>
      <c r="C51" s="78" t="s">
        <v>172</v>
      </c>
      <c r="D51" s="84">
        <v>32614</v>
      </c>
      <c r="E51" s="138" t="s">
        <v>173</v>
      </c>
      <c r="F51" s="78" t="s">
        <v>174</v>
      </c>
      <c r="G51" s="79">
        <v>929538</v>
      </c>
    </row>
    <row r="52" spans="2:7" ht="16.5" thickBot="1">
      <c r="B52" s="11"/>
      <c r="C52" s="85" t="s">
        <v>175</v>
      </c>
      <c r="D52" s="86">
        <f>SUM(D49:D51)</f>
        <v>8257602</v>
      </c>
      <c r="E52" s="138" t="s">
        <v>176</v>
      </c>
      <c r="F52" s="78" t="s">
        <v>177</v>
      </c>
      <c r="G52" s="79">
        <v>1854978</v>
      </c>
    </row>
    <row r="53" spans="2:7" ht="16.5" thickBot="1">
      <c r="B53" s="5"/>
      <c r="C53" s="75" t="s">
        <v>178</v>
      </c>
      <c r="D53" s="97">
        <f>D20+D35+D47+D52</f>
        <v>1393281028</v>
      </c>
      <c r="E53" s="138" t="s">
        <v>179</v>
      </c>
      <c r="F53" s="78" t="s">
        <v>180</v>
      </c>
      <c r="G53" s="79">
        <v>6380977</v>
      </c>
    </row>
    <row r="54" spans="2:7">
      <c r="C54" s="98"/>
      <c r="D54" s="99"/>
      <c r="E54" s="138" t="s">
        <v>181</v>
      </c>
      <c r="F54" s="78" t="s">
        <v>182</v>
      </c>
      <c r="G54" s="79">
        <v>1755237</v>
      </c>
    </row>
    <row r="55" spans="2:7">
      <c r="C55" s="100" t="s">
        <v>183</v>
      </c>
      <c r="D55" s="101"/>
      <c r="E55" s="138" t="s">
        <v>184</v>
      </c>
      <c r="F55" s="78" t="s">
        <v>185</v>
      </c>
      <c r="G55" s="79">
        <v>1703530</v>
      </c>
    </row>
    <row r="56" spans="2:7">
      <c r="B56" s="5" t="s">
        <v>186</v>
      </c>
      <c r="C56" s="102" t="s">
        <v>187</v>
      </c>
      <c r="D56" s="79"/>
      <c r="E56" s="138" t="s">
        <v>188</v>
      </c>
      <c r="F56" s="78" t="s">
        <v>189</v>
      </c>
      <c r="G56" s="84">
        <v>2551027</v>
      </c>
    </row>
    <row r="57" spans="2:7" ht="14.25" customHeight="1" thickBot="1">
      <c r="B57" s="5" t="s">
        <v>190</v>
      </c>
      <c r="C57" s="102" t="s">
        <v>191</v>
      </c>
      <c r="D57" s="79"/>
      <c r="E57" s="138"/>
      <c r="F57" s="85" t="s">
        <v>192</v>
      </c>
      <c r="G57" s="86">
        <f>SUM(G49:G56)</f>
        <v>78859786</v>
      </c>
    </row>
    <row r="58" spans="2:7">
      <c r="B58" s="5" t="s">
        <v>193</v>
      </c>
      <c r="C58" s="102" t="s">
        <v>194</v>
      </c>
      <c r="D58" s="79"/>
      <c r="E58" s="138" t="s">
        <v>195</v>
      </c>
      <c r="F58" s="80" t="s">
        <v>196</v>
      </c>
      <c r="G58" s="81">
        <v>6803506</v>
      </c>
    </row>
    <row r="59" spans="2:7">
      <c r="B59" s="5" t="s">
        <v>197</v>
      </c>
      <c r="C59" s="78" t="s">
        <v>198</v>
      </c>
      <c r="D59" s="84"/>
      <c r="E59" s="138" t="s">
        <v>199</v>
      </c>
      <c r="F59" s="78" t="s">
        <v>200</v>
      </c>
      <c r="G59" s="79">
        <v>14581472</v>
      </c>
    </row>
    <row r="60" spans="2:7" ht="16.5" thickBot="1">
      <c r="B60" s="5"/>
      <c r="C60" s="85" t="s">
        <v>201</v>
      </c>
      <c r="D60" s="86">
        <f>SUM(D56:D59)</f>
        <v>0</v>
      </c>
      <c r="E60" s="138" t="s">
        <v>202</v>
      </c>
      <c r="F60" s="78" t="s">
        <v>203</v>
      </c>
      <c r="G60" s="79">
        <v>1497589</v>
      </c>
    </row>
    <row r="61" spans="2:7" ht="16.5" thickBot="1">
      <c r="B61" s="15"/>
      <c r="C61" s="72" t="s">
        <v>204</v>
      </c>
      <c r="D61" s="103">
        <f>D53+D60</f>
        <v>1393281028</v>
      </c>
      <c r="E61" s="138" t="s">
        <v>205</v>
      </c>
      <c r="F61" s="78" t="s">
        <v>206</v>
      </c>
      <c r="G61" s="79">
        <v>8872641</v>
      </c>
    </row>
    <row r="62" spans="2:7">
      <c r="B62" s="16"/>
      <c r="C62" s="116"/>
      <c r="D62" s="116"/>
      <c r="E62" s="138" t="s">
        <v>207</v>
      </c>
      <c r="F62" s="78" t="s">
        <v>208</v>
      </c>
      <c r="G62" s="79">
        <v>0</v>
      </c>
    </row>
    <row r="63" spans="2:7">
      <c r="B63" s="17"/>
      <c r="C63" s="222" t="s">
        <v>8</v>
      </c>
      <c r="D63" s="222"/>
      <c r="E63" s="138" t="s">
        <v>209</v>
      </c>
      <c r="F63" s="78" t="s">
        <v>210</v>
      </c>
      <c r="G63" s="79">
        <v>6336122</v>
      </c>
    </row>
    <row r="64" spans="2:7">
      <c r="B64" s="18" t="s">
        <v>211</v>
      </c>
      <c r="C64" s="223" t="s">
        <v>212</v>
      </c>
      <c r="D64" s="223">
        <f>[22]Amortizaciones!D6</f>
        <v>10172178</v>
      </c>
      <c r="E64" s="138" t="s">
        <v>213</v>
      </c>
      <c r="F64" s="78" t="s">
        <v>214</v>
      </c>
      <c r="G64" s="79">
        <v>2749670</v>
      </c>
    </row>
    <row r="65" spans="2:7">
      <c r="B65" s="18" t="s">
        <v>215</v>
      </c>
      <c r="C65" s="223" t="s">
        <v>216</v>
      </c>
      <c r="D65" s="223">
        <f>[22]Amortizaciones!D7</f>
        <v>0</v>
      </c>
      <c r="E65" s="138" t="s">
        <v>217</v>
      </c>
      <c r="F65" s="78" t="s">
        <v>218</v>
      </c>
      <c r="G65" s="79">
        <v>1824831</v>
      </c>
    </row>
    <row r="66" spans="2:7">
      <c r="B66" s="18" t="s">
        <v>219</v>
      </c>
      <c r="C66" s="223" t="s">
        <v>220</v>
      </c>
      <c r="D66" s="223">
        <f>[22]Amortizaciones!D8</f>
        <v>6445429</v>
      </c>
      <c r="E66" s="138" t="s">
        <v>221</v>
      </c>
      <c r="F66" s="78" t="s">
        <v>222</v>
      </c>
      <c r="G66" s="79">
        <v>7437534</v>
      </c>
    </row>
    <row r="67" spans="2:7">
      <c r="B67" s="18" t="s">
        <v>223</v>
      </c>
      <c r="C67" s="223" t="s">
        <v>224</v>
      </c>
      <c r="D67" s="223">
        <f>[22]Amortizaciones!D9</f>
        <v>0</v>
      </c>
      <c r="E67" s="138" t="s">
        <v>225</v>
      </c>
      <c r="F67" s="78" t="s">
        <v>226</v>
      </c>
      <c r="G67" s="79">
        <v>570150</v>
      </c>
    </row>
    <row r="68" spans="2:7">
      <c r="B68" s="18" t="s">
        <v>227</v>
      </c>
      <c r="C68" s="223" t="s">
        <v>228</v>
      </c>
      <c r="D68" s="223">
        <f>[22]Amortizaciones!D10</f>
        <v>50435</v>
      </c>
      <c r="E68" s="138" t="s">
        <v>229</v>
      </c>
      <c r="F68" s="78" t="s">
        <v>230</v>
      </c>
      <c r="G68" s="79">
        <v>0</v>
      </c>
    </row>
    <row r="69" spans="2:7">
      <c r="B69" s="18" t="s">
        <v>231</v>
      </c>
      <c r="C69" s="223" t="s">
        <v>232</v>
      </c>
      <c r="D69" s="223">
        <f>[22]Amortizaciones!D11</f>
        <v>590</v>
      </c>
      <c r="E69" s="138" t="s">
        <v>233</v>
      </c>
      <c r="F69" s="78" t="s">
        <v>234</v>
      </c>
      <c r="G69" s="79">
        <v>183450</v>
      </c>
    </row>
    <row r="70" spans="2:7">
      <c r="B70" s="18" t="s">
        <v>235</v>
      </c>
      <c r="C70" s="223" t="s">
        <v>236</v>
      </c>
      <c r="D70" s="223">
        <f>[22]Amortizaciones!D12</f>
        <v>387457</v>
      </c>
      <c r="E70" s="138" t="s">
        <v>237</v>
      </c>
      <c r="F70" s="78" t="s">
        <v>238</v>
      </c>
      <c r="G70" s="79">
        <v>410553</v>
      </c>
    </row>
    <row r="71" spans="2:7">
      <c r="B71" s="18" t="s">
        <v>239</v>
      </c>
      <c r="C71" s="223" t="s">
        <v>240</v>
      </c>
      <c r="D71" s="223">
        <f>[22]Amortizaciones!D13</f>
        <v>902133</v>
      </c>
      <c r="E71" s="138" t="s">
        <v>241</v>
      </c>
      <c r="F71" s="78" t="s">
        <v>242</v>
      </c>
      <c r="G71" s="79">
        <v>0</v>
      </c>
    </row>
    <row r="72" spans="2:7">
      <c r="B72" s="18" t="s">
        <v>243</v>
      </c>
      <c r="C72" s="223" t="s">
        <v>244</v>
      </c>
      <c r="D72" s="223">
        <f>[22]Amortizaciones!D14</f>
        <v>1137042</v>
      </c>
      <c r="E72" s="138" t="s">
        <v>245</v>
      </c>
      <c r="F72" s="78" t="s">
        <v>246</v>
      </c>
      <c r="G72" s="79">
        <v>0</v>
      </c>
    </row>
    <row r="73" spans="2:7">
      <c r="B73" s="18" t="s">
        <v>247</v>
      </c>
      <c r="C73" s="223" t="s">
        <v>248</v>
      </c>
      <c r="D73" s="223">
        <f>[22]Amortizaciones!D15</f>
        <v>12357</v>
      </c>
      <c r="E73" s="138" t="s">
        <v>249</v>
      </c>
      <c r="F73" s="78" t="s">
        <v>250</v>
      </c>
      <c r="G73" s="79">
        <v>10082</v>
      </c>
    </row>
    <row r="74" spans="2:7">
      <c r="B74" s="18" t="s">
        <v>251</v>
      </c>
      <c r="C74" s="223" t="s">
        <v>252</v>
      </c>
      <c r="D74" s="223">
        <f>[22]Amortizaciones!D16</f>
        <v>0</v>
      </c>
      <c r="E74" s="138" t="s">
        <v>253</v>
      </c>
      <c r="F74" s="78" t="s">
        <v>254</v>
      </c>
      <c r="G74" s="79">
        <v>118230</v>
      </c>
    </row>
    <row r="75" spans="2:7">
      <c r="B75" s="18" t="s">
        <v>255</v>
      </c>
      <c r="C75" s="223" t="s">
        <v>256</v>
      </c>
      <c r="D75" s="223">
        <f>[22]Amortizaciones!D17</f>
        <v>0</v>
      </c>
      <c r="E75" s="138" t="s">
        <v>257</v>
      </c>
      <c r="F75" s="78" t="s">
        <v>258</v>
      </c>
      <c r="G75" s="79">
        <v>9440392.9700000007</v>
      </c>
    </row>
    <row r="76" spans="2:7">
      <c r="B76" s="18" t="s">
        <v>259</v>
      </c>
      <c r="C76" s="223" t="s">
        <v>260</v>
      </c>
      <c r="D76" s="223">
        <f>[22]Amortizaciones!D18</f>
        <v>0</v>
      </c>
      <c r="E76" s="138" t="s">
        <v>261</v>
      </c>
      <c r="F76" s="78" t="s">
        <v>262</v>
      </c>
      <c r="G76" s="79">
        <v>11399450</v>
      </c>
    </row>
    <row r="77" spans="2:7">
      <c r="B77" s="18" t="s">
        <v>263</v>
      </c>
      <c r="C77" s="223" t="s">
        <v>264</v>
      </c>
      <c r="D77" s="223">
        <f>SUM(D64:D76)</f>
        <v>19107621</v>
      </c>
      <c r="E77" s="138" t="s">
        <v>265</v>
      </c>
      <c r="F77" s="78" t="s">
        <v>266</v>
      </c>
      <c r="G77" s="79">
        <v>8679139</v>
      </c>
    </row>
    <row r="78" spans="2:7">
      <c r="B78" s="18"/>
      <c r="C78" s="223"/>
      <c r="D78" s="223"/>
      <c r="E78" s="138" t="s">
        <v>267</v>
      </c>
      <c r="F78" s="78" t="s">
        <v>268</v>
      </c>
      <c r="G78" s="84">
        <v>2695723</v>
      </c>
    </row>
    <row r="79" spans="2:7" ht="16.5" thickBot="1">
      <c r="B79" s="18"/>
      <c r="C79" s="222" t="s">
        <v>269</v>
      </c>
      <c r="D79" s="224"/>
      <c r="E79" s="138"/>
      <c r="F79" s="85" t="s">
        <v>270</v>
      </c>
      <c r="G79" s="86">
        <f>SUM(G58:G78)</f>
        <v>83610534.969999999</v>
      </c>
    </row>
    <row r="80" spans="2:7">
      <c r="B80" s="18" t="s">
        <v>271</v>
      </c>
      <c r="C80" s="223" t="s">
        <v>236</v>
      </c>
      <c r="D80" s="223">
        <f>[22]Amortizaciones!D22</f>
        <v>387457</v>
      </c>
      <c r="E80" s="138" t="s">
        <v>272</v>
      </c>
      <c r="F80" s="80" t="s">
        <v>273</v>
      </c>
      <c r="G80" s="81">
        <v>0</v>
      </c>
    </row>
    <row r="81" spans="2:7">
      <c r="B81" s="18" t="s">
        <v>274</v>
      </c>
      <c r="C81" s="223" t="s">
        <v>240</v>
      </c>
      <c r="D81" s="223">
        <f>[22]Amortizaciones!D23</f>
        <v>0</v>
      </c>
      <c r="E81" s="138" t="s">
        <v>275</v>
      </c>
      <c r="F81" s="78" t="s">
        <v>276</v>
      </c>
      <c r="G81" s="79">
        <v>3429249</v>
      </c>
    </row>
    <row r="82" spans="2:7">
      <c r="B82" s="18" t="s">
        <v>277</v>
      </c>
      <c r="C82" s="223" t="s">
        <v>244</v>
      </c>
      <c r="D82" s="223">
        <f>[22]Amortizaciones!D24</f>
        <v>200655</v>
      </c>
      <c r="E82" s="138" t="s">
        <v>278</v>
      </c>
      <c r="F82" s="78" t="s">
        <v>279</v>
      </c>
      <c r="G82" s="79">
        <v>3213947</v>
      </c>
    </row>
    <row r="83" spans="2:7">
      <c r="B83" s="18" t="s">
        <v>280</v>
      </c>
      <c r="C83" s="223" t="s">
        <v>248</v>
      </c>
      <c r="D83" s="223">
        <f>[22]Amortizaciones!D25</f>
        <v>0</v>
      </c>
      <c r="E83" s="138" t="s">
        <v>281</v>
      </c>
      <c r="F83" s="78" t="s">
        <v>282</v>
      </c>
      <c r="G83" s="79">
        <v>1908284</v>
      </c>
    </row>
    <row r="84" spans="2:7">
      <c r="B84" s="18" t="s">
        <v>283</v>
      </c>
      <c r="C84" s="223" t="s">
        <v>284</v>
      </c>
      <c r="D84" s="223">
        <v>0</v>
      </c>
      <c r="E84" s="138" t="s">
        <v>285</v>
      </c>
      <c r="F84" s="78" t="s">
        <v>286</v>
      </c>
      <c r="G84" s="79">
        <v>6558939</v>
      </c>
    </row>
    <row r="85" spans="2:7">
      <c r="B85" s="18" t="s">
        <v>287</v>
      </c>
      <c r="C85" s="223" t="s">
        <v>288</v>
      </c>
      <c r="D85" s="223">
        <f>[22]Amortizaciones!D27</f>
        <v>0</v>
      </c>
      <c r="E85" s="138" t="s">
        <v>289</v>
      </c>
      <c r="F85" s="78" t="s">
        <v>290</v>
      </c>
      <c r="G85" s="79">
        <v>1330447</v>
      </c>
    </row>
    <row r="86" spans="2:7" ht="13.5" customHeight="1">
      <c r="B86" s="18" t="s">
        <v>291</v>
      </c>
      <c r="C86" s="223" t="s">
        <v>292</v>
      </c>
      <c r="D86" s="223">
        <f>[22]Amortizaciones!D28</f>
        <v>0</v>
      </c>
      <c r="E86" s="138" t="s">
        <v>293</v>
      </c>
      <c r="F86" s="78" t="s">
        <v>294</v>
      </c>
      <c r="G86" s="79">
        <v>384500</v>
      </c>
    </row>
    <row r="87" spans="2:7" ht="13.5" customHeight="1">
      <c r="B87" s="18" t="s">
        <v>295</v>
      </c>
      <c r="C87" s="223" t="s">
        <v>296</v>
      </c>
      <c r="D87" s="223">
        <f>[22]Amortizaciones!D29</f>
        <v>820579</v>
      </c>
      <c r="E87" s="138" t="s">
        <v>297</v>
      </c>
      <c r="F87" s="78" t="s">
        <v>298</v>
      </c>
      <c r="G87" s="79">
        <v>8962712</v>
      </c>
    </row>
    <row r="88" spans="2:7" ht="13.5" customHeight="1">
      <c r="B88" s="18" t="s">
        <v>299</v>
      </c>
      <c r="C88" s="223" t="s">
        <v>300</v>
      </c>
      <c r="D88" s="223">
        <f>[22]Amortizaciones!D30</f>
        <v>0</v>
      </c>
      <c r="E88" s="138" t="s">
        <v>301</v>
      </c>
      <c r="F88" s="78" t="s">
        <v>302</v>
      </c>
      <c r="G88" s="79">
        <v>2406845</v>
      </c>
    </row>
    <row r="89" spans="2:7">
      <c r="B89" s="18" t="s">
        <v>303</v>
      </c>
      <c r="C89" s="223" t="s">
        <v>212</v>
      </c>
      <c r="D89" s="223">
        <f>[22]Amortizaciones!D31</f>
        <v>0</v>
      </c>
      <c r="E89" s="138" t="s">
        <v>304</v>
      </c>
      <c r="F89" s="78" t="s">
        <v>305</v>
      </c>
      <c r="G89" s="79">
        <v>36113937</v>
      </c>
    </row>
    <row r="90" spans="2:7" ht="14.25" customHeight="1">
      <c r="B90" s="18" t="s">
        <v>306</v>
      </c>
      <c r="C90" s="223" t="s">
        <v>228</v>
      </c>
      <c r="D90" s="223">
        <f>[22]Amortizaciones!D32</f>
        <v>0</v>
      </c>
      <c r="E90" s="138" t="s">
        <v>307</v>
      </c>
      <c r="F90" s="78" t="s">
        <v>308</v>
      </c>
      <c r="G90" s="79">
        <v>1936099</v>
      </c>
    </row>
    <row r="91" spans="2:7" ht="14.25" customHeight="1">
      <c r="B91" s="18" t="s">
        <v>309</v>
      </c>
      <c r="C91" s="223" t="s">
        <v>310</v>
      </c>
      <c r="D91" s="223">
        <f>SUM(D80:D90)</f>
        <v>1408691</v>
      </c>
      <c r="E91" s="225" t="s">
        <v>311</v>
      </c>
      <c r="F91" s="78" t="s">
        <v>312</v>
      </c>
      <c r="G91" s="79">
        <v>219183</v>
      </c>
    </row>
    <row r="92" spans="2:7" ht="14.25" customHeight="1">
      <c r="B92" s="18"/>
      <c r="C92" s="226" t="s">
        <v>313</v>
      </c>
      <c r="D92" s="223">
        <f>D77+D91</f>
        <v>20516312</v>
      </c>
      <c r="E92" s="225" t="s">
        <v>314</v>
      </c>
      <c r="F92" s="78" t="s">
        <v>315</v>
      </c>
      <c r="G92" s="79">
        <v>103305</v>
      </c>
    </row>
    <row r="93" spans="2:7">
      <c r="C93" s="116"/>
      <c r="D93" s="116"/>
      <c r="E93" s="225" t="s">
        <v>316</v>
      </c>
      <c r="F93" s="78" t="s">
        <v>317</v>
      </c>
      <c r="G93" s="79">
        <v>0</v>
      </c>
    </row>
    <row r="94" spans="2:7">
      <c r="C94" s="116"/>
      <c r="D94" s="116"/>
      <c r="E94" s="225" t="s">
        <v>318</v>
      </c>
      <c r="F94" s="78" t="s">
        <v>319</v>
      </c>
      <c r="G94" s="84">
        <v>2228326</v>
      </c>
    </row>
    <row r="95" spans="2:7" ht="13.5" customHeight="1" thickBot="1">
      <c r="C95" s="116"/>
      <c r="D95" s="116"/>
      <c r="E95" s="138"/>
      <c r="F95" s="85" t="s">
        <v>320</v>
      </c>
      <c r="G95" s="86">
        <f>SUM(G80:G94)</f>
        <v>68795773</v>
      </c>
    </row>
    <row r="96" spans="2:7">
      <c r="C96" s="116"/>
      <c r="D96" s="116"/>
      <c r="E96" s="225" t="s">
        <v>321</v>
      </c>
      <c r="F96" s="80" t="s">
        <v>322</v>
      </c>
      <c r="G96" s="81">
        <v>4107477</v>
      </c>
    </row>
    <row r="97" spans="2:7">
      <c r="C97" s="116"/>
      <c r="D97" s="116"/>
      <c r="E97" s="225" t="s">
        <v>323</v>
      </c>
      <c r="F97" s="78" t="s">
        <v>324</v>
      </c>
      <c r="G97" s="79">
        <v>3868759</v>
      </c>
    </row>
    <row r="98" spans="2:7">
      <c r="C98" s="116"/>
      <c r="D98" s="116"/>
      <c r="E98" s="225" t="s">
        <v>325</v>
      </c>
      <c r="F98" s="78" t="s">
        <v>326</v>
      </c>
      <c r="G98" s="79">
        <v>2135029</v>
      </c>
    </row>
    <row r="99" spans="2:7">
      <c r="C99" s="116"/>
      <c r="D99" s="116"/>
      <c r="E99" s="225" t="s">
        <v>327</v>
      </c>
      <c r="F99" s="78" t="s">
        <v>328</v>
      </c>
      <c r="G99" s="79">
        <f>439024.53+918786.68</f>
        <v>1357811.21</v>
      </c>
    </row>
    <row r="100" spans="2:7">
      <c r="C100" s="116"/>
      <c r="D100" s="116"/>
      <c r="E100" s="225" t="s">
        <v>329</v>
      </c>
      <c r="F100" s="78" t="s">
        <v>330</v>
      </c>
      <c r="G100" s="84">
        <v>395155</v>
      </c>
    </row>
    <row r="101" spans="2:7" ht="12.75" customHeight="1" thickBot="1">
      <c r="C101" s="116"/>
      <c r="D101" s="116"/>
      <c r="E101" s="138"/>
      <c r="F101" s="85" t="s">
        <v>331</v>
      </c>
      <c r="G101" s="86">
        <f>SUM(G96:G100)</f>
        <v>11864231.210000001</v>
      </c>
    </row>
    <row r="102" spans="2:7" ht="12.75" customHeight="1" thickBot="1">
      <c r="C102" s="116"/>
      <c r="D102" s="116"/>
      <c r="E102" s="225"/>
      <c r="F102" s="110" t="s">
        <v>332</v>
      </c>
      <c r="G102" s="111">
        <f>[22]Amortizaciones!D19</f>
        <v>19107621</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1279841599.1800001</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113439428.81999993</v>
      </c>
    </row>
    <row r="110" spans="2:7" ht="6.75" customHeight="1" thickBot="1">
      <c r="B110" s="5"/>
      <c r="C110" s="227"/>
      <c r="D110" s="227"/>
      <c r="E110" s="138"/>
      <c r="F110" s="116"/>
      <c r="G110" s="116"/>
    </row>
    <row r="111" spans="2:7" ht="15" customHeight="1" thickBot="1">
      <c r="C111" s="72" t="s">
        <v>269</v>
      </c>
      <c r="D111" s="118">
        <f>+[22]E.S.P.!D6</f>
        <v>2021</v>
      </c>
      <c r="E111" s="225"/>
      <c r="F111" s="72" t="s">
        <v>340</v>
      </c>
      <c r="G111" s="118">
        <f>+[22]E.S.P.!D6</f>
        <v>2021</v>
      </c>
    </row>
    <row r="112" spans="2:7" ht="13.7" customHeight="1">
      <c r="B112" s="5" t="s">
        <v>341</v>
      </c>
      <c r="C112" s="119" t="s">
        <v>342</v>
      </c>
      <c r="D112" s="120">
        <v>5216937</v>
      </c>
      <c r="E112" s="138" t="s">
        <v>343</v>
      </c>
      <c r="F112" s="119" t="s">
        <v>308</v>
      </c>
      <c r="G112" s="120">
        <v>0</v>
      </c>
    </row>
    <row r="113" spans="2:7" ht="13.7" customHeight="1">
      <c r="B113" s="5" t="s">
        <v>344</v>
      </c>
      <c r="C113" s="121" t="s">
        <v>345</v>
      </c>
      <c r="D113" s="122">
        <v>55761697</v>
      </c>
      <c r="E113" s="138" t="s">
        <v>346</v>
      </c>
      <c r="F113" s="121" t="s">
        <v>347</v>
      </c>
      <c r="G113" s="122">
        <v>0</v>
      </c>
    </row>
    <row r="114" spans="2:7" ht="13.7" customHeight="1">
      <c r="B114" s="5" t="s">
        <v>348</v>
      </c>
      <c r="C114" s="121" t="s">
        <v>48</v>
      </c>
      <c r="D114" s="122">
        <v>8581434</v>
      </c>
      <c r="E114" s="138" t="s">
        <v>349</v>
      </c>
      <c r="F114" s="121" t="s">
        <v>350</v>
      </c>
      <c r="G114" s="122">
        <v>3209893</v>
      </c>
    </row>
    <row r="115" spans="2:7" ht="13.7" customHeight="1">
      <c r="B115" s="5" t="s">
        <v>351</v>
      </c>
      <c r="C115" s="121" t="s">
        <v>352</v>
      </c>
      <c r="D115" s="122">
        <v>343319</v>
      </c>
      <c r="E115" s="138" t="s">
        <v>353</v>
      </c>
      <c r="F115" s="121" t="s">
        <v>354</v>
      </c>
      <c r="G115" s="122">
        <v>0</v>
      </c>
    </row>
    <row r="116" spans="2:7" ht="13.7" customHeight="1">
      <c r="B116" s="5" t="s">
        <v>355</v>
      </c>
      <c r="C116" s="121" t="s">
        <v>356</v>
      </c>
      <c r="D116" s="122">
        <v>2437680</v>
      </c>
      <c r="E116" s="138" t="s">
        <v>357</v>
      </c>
      <c r="F116" s="121" t="s">
        <v>358</v>
      </c>
      <c r="G116" s="122">
        <v>425711</v>
      </c>
    </row>
    <row r="117" spans="2:7" ht="13.7" customHeight="1">
      <c r="B117" s="5" t="s">
        <v>359</v>
      </c>
      <c r="C117" s="121" t="s">
        <v>360</v>
      </c>
      <c r="D117" s="122">
        <v>488229</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921782</v>
      </c>
      <c r="E119" s="138" t="s">
        <v>369</v>
      </c>
      <c r="F119" s="121" t="s">
        <v>370</v>
      </c>
      <c r="G119" s="122">
        <v>0</v>
      </c>
    </row>
    <row r="120" spans="2:7" ht="13.7" customHeight="1">
      <c r="B120" s="5" t="s">
        <v>371</v>
      </c>
      <c r="C120" s="121" t="s">
        <v>372</v>
      </c>
      <c r="D120" s="122">
        <v>201641</v>
      </c>
      <c r="E120" s="138" t="s">
        <v>373</v>
      </c>
      <c r="F120" s="121" t="s">
        <v>374</v>
      </c>
      <c r="G120" s="122">
        <v>0</v>
      </c>
    </row>
    <row r="121" spans="2:7" ht="13.7" customHeight="1">
      <c r="B121" s="5" t="s">
        <v>375</v>
      </c>
      <c r="C121" s="78" t="s">
        <v>376</v>
      </c>
      <c r="D121" s="122">
        <v>2650304</v>
      </c>
      <c r="E121" s="138" t="s">
        <v>377</v>
      </c>
      <c r="F121" s="121" t="s">
        <v>378</v>
      </c>
      <c r="G121" s="122">
        <v>296889</v>
      </c>
    </row>
    <row r="122" spans="2:7" ht="13.7" customHeight="1" thickBot="1">
      <c r="B122" s="5"/>
      <c r="C122" s="85" t="s">
        <v>379</v>
      </c>
      <c r="D122" s="94">
        <f>SUM(D112:D121)</f>
        <v>76603023</v>
      </c>
      <c r="E122" s="138" t="s">
        <v>380</v>
      </c>
      <c r="F122" s="78" t="s">
        <v>381</v>
      </c>
      <c r="G122" s="79">
        <v>150130</v>
      </c>
    </row>
    <row r="123" spans="2:7" ht="13.7" customHeight="1" thickBot="1">
      <c r="B123" s="5" t="s">
        <v>382</v>
      </c>
      <c r="C123" s="123" t="s">
        <v>308</v>
      </c>
      <c r="D123" s="120">
        <v>1479086</v>
      </c>
      <c r="E123" s="225"/>
      <c r="F123" s="85" t="s">
        <v>383</v>
      </c>
      <c r="G123" s="94">
        <f>SUM(G112:G122)</f>
        <v>4082623</v>
      </c>
    </row>
    <row r="124" spans="2:7" ht="13.7" customHeight="1">
      <c r="B124" s="5" t="s">
        <v>384</v>
      </c>
      <c r="C124" s="121" t="s">
        <v>312</v>
      </c>
      <c r="D124" s="122">
        <v>0</v>
      </c>
      <c r="E124" s="138" t="s">
        <v>385</v>
      </c>
      <c r="F124" s="121" t="s">
        <v>386</v>
      </c>
      <c r="G124" s="122">
        <v>0</v>
      </c>
    </row>
    <row r="125" spans="2:7" ht="13.7" customHeight="1">
      <c r="B125" s="5" t="s">
        <v>387</v>
      </c>
      <c r="C125" s="78" t="s">
        <v>388</v>
      </c>
      <c r="D125" s="122">
        <v>50483</v>
      </c>
      <c r="E125" s="138" t="s">
        <v>389</v>
      </c>
      <c r="F125" s="121" t="s">
        <v>390</v>
      </c>
      <c r="G125" s="122">
        <v>62011</v>
      </c>
    </row>
    <row r="126" spans="2:7" ht="13.7" customHeight="1" thickBot="1">
      <c r="B126" s="5"/>
      <c r="C126" s="85" t="s">
        <v>391</v>
      </c>
      <c r="D126" s="94">
        <f>SUM(D123:D125)</f>
        <v>1529569</v>
      </c>
      <c r="E126" s="138" t="s">
        <v>392</v>
      </c>
      <c r="F126" s="121" t="s">
        <v>393</v>
      </c>
      <c r="G126" s="122">
        <v>3595649</v>
      </c>
    </row>
    <row r="127" spans="2:7" ht="13.7" customHeight="1">
      <c r="B127" s="5" t="s">
        <v>394</v>
      </c>
      <c r="C127" s="119" t="s">
        <v>273</v>
      </c>
      <c r="D127" s="120">
        <v>2383782</v>
      </c>
      <c r="E127" s="138" t="s">
        <v>395</v>
      </c>
      <c r="F127" s="121" t="s">
        <v>396</v>
      </c>
      <c r="G127" s="122">
        <v>0</v>
      </c>
    </row>
    <row r="128" spans="2:7" ht="13.7" customHeight="1">
      <c r="B128" s="5" t="s">
        <v>397</v>
      </c>
      <c r="C128" s="121" t="s">
        <v>398</v>
      </c>
      <c r="D128" s="122">
        <v>1284177</v>
      </c>
      <c r="E128" s="138" t="s">
        <v>399</v>
      </c>
      <c r="F128" s="121" t="s">
        <v>400</v>
      </c>
      <c r="G128" s="122">
        <v>0</v>
      </c>
    </row>
    <row r="129" spans="2:7" ht="13.7" customHeight="1">
      <c r="B129" s="5" t="s">
        <v>401</v>
      </c>
      <c r="C129" s="121" t="s">
        <v>276</v>
      </c>
      <c r="D129" s="122">
        <v>417051</v>
      </c>
      <c r="E129" s="138" t="s">
        <v>402</v>
      </c>
      <c r="F129" s="121" t="s">
        <v>403</v>
      </c>
      <c r="G129" s="122">
        <v>459739</v>
      </c>
    </row>
    <row r="130" spans="2:7" ht="13.7" customHeight="1">
      <c r="B130" s="5" t="s">
        <v>404</v>
      </c>
      <c r="C130" s="121" t="s">
        <v>282</v>
      </c>
      <c r="D130" s="122">
        <v>334829</v>
      </c>
      <c r="E130" s="138" t="s">
        <v>405</v>
      </c>
      <c r="F130" s="121" t="s">
        <v>406</v>
      </c>
      <c r="G130" s="122">
        <v>0</v>
      </c>
    </row>
    <row r="131" spans="2:7" ht="13.7" customHeight="1">
      <c r="B131" s="5" t="s">
        <v>407</v>
      </c>
      <c r="C131" s="121" t="s">
        <v>286</v>
      </c>
      <c r="D131" s="122">
        <v>1154201</v>
      </c>
      <c r="E131" s="138" t="s">
        <v>408</v>
      </c>
      <c r="F131" s="121" t="s">
        <v>409</v>
      </c>
      <c r="G131" s="122">
        <v>0</v>
      </c>
    </row>
    <row r="132" spans="2:7" ht="13.7" customHeight="1">
      <c r="B132" s="5" t="s">
        <v>410</v>
      </c>
      <c r="C132" s="121" t="s">
        <v>290</v>
      </c>
      <c r="D132" s="122">
        <v>234235</v>
      </c>
      <c r="E132" s="138" t="s">
        <v>411</v>
      </c>
      <c r="F132" s="121" t="s">
        <v>412</v>
      </c>
      <c r="G132" s="122">
        <v>0</v>
      </c>
    </row>
    <row r="133" spans="2:7" ht="13.7" customHeight="1">
      <c r="B133" s="5" t="s">
        <v>413</v>
      </c>
      <c r="C133" s="121" t="s">
        <v>294</v>
      </c>
      <c r="D133" s="122">
        <v>0</v>
      </c>
      <c r="E133" s="138" t="s">
        <v>414</v>
      </c>
      <c r="F133" s="121" t="s">
        <v>415</v>
      </c>
      <c r="G133" s="122">
        <v>0</v>
      </c>
    </row>
    <row r="134" spans="2:7" ht="13.7" customHeight="1">
      <c r="B134" s="5" t="s">
        <v>416</v>
      </c>
      <c r="C134" s="121" t="s">
        <v>417</v>
      </c>
      <c r="D134" s="122">
        <f>1097566+650607</f>
        <v>1748173</v>
      </c>
      <c r="E134" s="138" t="s">
        <v>418</v>
      </c>
      <c r="F134" s="121" t="s">
        <v>419</v>
      </c>
      <c r="G134" s="122">
        <v>0</v>
      </c>
    </row>
    <row r="135" spans="2:7" ht="13.7" customHeight="1">
      <c r="B135" s="5" t="s">
        <v>420</v>
      </c>
      <c r="C135" s="121" t="s">
        <v>421</v>
      </c>
      <c r="D135" s="122">
        <v>8876224</v>
      </c>
      <c r="E135" s="138" t="s">
        <v>422</v>
      </c>
      <c r="F135" s="121" t="s">
        <v>423</v>
      </c>
      <c r="G135" s="122">
        <v>0</v>
      </c>
    </row>
    <row r="136" spans="2:7" ht="13.7" customHeight="1">
      <c r="B136" s="5" t="s">
        <v>424</v>
      </c>
      <c r="C136" s="121" t="s">
        <v>317</v>
      </c>
      <c r="D136" s="122">
        <f>13387899+854779</f>
        <v>14242678</v>
      </c>
      <c r="E136" s="138" t="s">
        <v>425</v>
      </c>
      <c r="F136" s="121" t="s">
        <v>426</v>
      </c>
      <c r="G136" s="122">
        <v>0</v>
      </c>
    </row>
    <row r="137" spans="2:7" ht="13.7" customHeight="1">
      <c r="B137" s="5" t="s">
        <v>427</v>
      </c>
      <c r="C137" s="78" t="s">
        <v>319</v>
      </c>
      <c r="D137" s="124">
        <v>1153384</v>
      </c>
      <c r="E137" s="138" t="s">
        <v>428</v>
      </c>
      <c r="F137" s="121" t="s">
        <v>429</v>
      </c>
      <c r="G137" s="122">
        <f>1334707.19+228.96+5+4153708</f>
        <v>5488649.1500000004</v>
      </c>
    </row>
    <row r="138" spans="2:7" ht="13.7" customHeight="1" thickBot="1">
      <c r="B138" s="5"/>
      <c r="C138" s="85" t="s">
        <v>320</v>
      </c>
      <c r="D138" s="94">
        <f>SUM(D127:D137)</f>
        <v>31828734</v>
      </c>
      <c r="E138" s="138" t="s">
        <v>430</v>
      </c>
      <c r="F138" s="78" t="s">
        <v>431</v>
      </c>
      <c r="G138" s="79">
        <f>170898-4755</f>
        <v>166143</v>
      </c>
    </row>
    <row r="139" spans="2:7" ht="13.7" customHeight="1" thickBot="1">
      <c r="B139" s="5" t="s">
        <v>432</v>
      </c>
      <c r="C139" s="119" t="s">
        <v>326</v>
      </c>
      <c r="D139" s="120">
        <v>0</v>
      </c>
      <c r="E139" s="228"/>
      <c r="F139" s="85" t="s">
        <v>433</v>
      </c>
      <c r="G139" s="94">
        <f>SUM(G124:G138)</f>
        <v>9772191.1500000004</v>
      </c>
    </row>
    <row r="140" spans="2:7" ht="13.7" customHeight="1" thickBot="1">
      <c r="B140" s="5" t="s">
        <v>434</v>
      </c>
      <c r="C140" s="121" t="s">
        <v>328</v>
      </c>
      <c r="D140" s="122">
        <v>0</v>
      </c>
      <c r="E140" s="228"/>
      <c r="F140" s="110" t="s">
        <v>435</v>
      </c>
      <c r="G140" s="126">
        <f>G123-G139</f>
        <v>-5689568.1500000004</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[22]Amortizaciones!D33</f>
        <v>1408691</v>
      </c>
      <c r="E143" s="138"/>
      <c r="F143" s="72" t="s">
        <v>437</v>
      </c>
      <c r="G143" s="118">
        <f>+[22]E.S.P.!D6</f>
        <v>2021</v>
      </c>
    </row>
    <row r="144" spans="2:7" ht="13.7" customHeight="1">
      <c r="B144" s="5" t="s">
        <v>438</v>
      </c>
      <c r="C144" s="119" t="s">
        <v>439</v>
      </c>
      <c r="D144" s="120">
        <v>803719</v>
      </c>
      <c r="E144" s="138" t="s">
        <v>440</v>
      </c>
      <c r="F144" s="119" t="s">
        <v>441</v>
      </c>
      <c r="G144" s="120">
        <v>427445</v>
      </c>
    </row>
    <row r="145" spans="2:7" ht="13.7" customHeight="1">
      <c r="B145" s="5" t="s">
        <v>442</v>
      </c>
      <c r="C145" s="121" t="s">
        <v>443</v>
      </c>
      <c r="D145" s="122">
        <v>307831</v>
      </c>
      <c r="E145" s="138" t="s">
        <v>444</v>
      </c>
      <c r="F145" s="121" t="s">
        <v>445</v>
      </c>
      <c r="G145" s="122">
        <v>30905</v>
      </c>
    </row>
    <row r="146" spans="2:7" ht="13.7" customHeight="1">
      <c r="B146" s="5" t="s">
        <v>446</v>
      </c>
      <c r="C146" s="128" t="s">
        <v>447</v>
      </c>
      <c r="D146" s="122">
        <v>0</v>
      </c>
      <c r="E146" s="138" t="s">
        <v>448</v>
      </c>
      <c r="F146" s="121" t="s">
        <v>449</v>
      </c>
      <c r="G146" s="122">
        <v>1070948</v>
      </c>
    </row>
    <row r="147" spans="2:7" ht="13.7" customHeight="1">
      <c r="B147" s="5" t="s">
        <v>450</v>
      </c>
      <c r="C147" s="78" t="s">
        <v>451</v>
      </c>
      <c r="D147" s="124">
        <v>48074</v>
      </c>
      <c r="E147" s="138" t="s">
        <v>452</v>
      </c>
      <c r="F147" s="121" t="s">
        <v>453</v>
      </c>
      <c r="G147" s="122">
        <v>0</v>
      </c>
    </row>
    <row r="148" spans="2:7" ht="13.7" customHeight="1" thickBot="1">
      <c r="B148" s="5"/>
      <c r="C148" s="85" t="s">
        <v>518</v>
      </c>
      <c r="D148" s="94">
        <f>SUM(D144:D147)</f>
        <v>1159624</v>
      </c>
      <c r="E148" s="138" t="s">
        <v>454</v>
      </c>
      <c r="F148" s="121" t="s">
        <v>455</v>
      </c>
      <c r="G148" s="122">
        <v>0</v>
      </c>
    </row>
    <row r="149" spans="2:7" ht="13.7" customHeight="1">
      <c r="B149" s="5" t="s">
        <v>456</v>
      </c>
      <c r="C149" s="119" t="s">
        <v>457</v>
      </c>
      <c r="D149" s="120">
        <f>53+672016+12513-95452</f>
        <v>589130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4755</v>
      </c>
      <c r="E151" s="138" t="s">
        <v>466</v>
      </c>
      <c r="F151" s="121" t="s">
        <v>467</v>
      </c>
      <c r="G151" s="122">
        <v>17260019</v>
      </c>
    </row>
    <row r="152" spans="2:7" ht="13.7" customHeight="1" thickBot="1">
      <c r="B152" s="5"/>
      <c r="C152" s="85" t="s">
        <v>516</v>
      </c>
      <c r="D152" s="94">
        <f>SUM(D149:D151)</f>
        <v>593885</v>
      </c>
      <c r="E152" s="138" t="s">
        <v>469</v>
      </c>
      <c r="F152" s="121" t="s">
        <v>470</v>
      </c>
      <c r="G152" s="122">
        <v>0</v>
      </c>
    </row>
    <row r="153" spans="2:7" ht="15" customHeight="1" thickBot="1">
      <c r="B153" s="5"/>
      <c r="C153" s="110" t="s">
        <v>471</v>
      </c>
      <c r="D153" s="129">
        <f>D122+D126+D138+D142+D143+D148+D152</f>
        <v>113123526</v>
      </c>
      <c r="E153" s="138" t="s">
        <v>472</v>
      </c>
      <c r="F153" s="78" t="s">
        <v>473</v>
      </c>
      <c r="G153" s="79">
        <v>52600</v>
      </c>
    </row>
    <row r="154" spans="2:7" ht="13.7" customHeight="1" thickBot="1">
      <c r="B154" s="5"/>
      <c r="C154" s="116"/>
      <c r="D154" s="116"/>
      <c r="E154" s="138"/>
      <c r="F154" s="85" t="s">
        <v>474</v>
      </c>
      <c r="G154" s="94">
        <f>SUM(G144:G153)</f>
        <v>18841917</v>
      </c>
    </row>
    <row r="155" spans="2:7" ht="13.5" customHeight="1" thickBot="1">
      <c r="B155" s="5"/>
      <c r="C155" s="72" t="s">
        <v>475</v>
      </c>
      <c r="D155" s="103">
        <f>G109-D153</f>
        <v>315902.81999993324</v>
      </c>
      <c r="E155" s="138" t="s">
        <v>476</v>
      </c>
      <c r="F155" s="119" t="s">
        <v>477</v>
      </c>
      <c r="G155" s="120">
        <v>296821</v>
      </c>
    </row>
    <row r="156" spans="2:7" ht="13.7" customHeight="1">
      <c r="C156" s="116"/>
      <c r="D156" s="116"/>
      <c r="E156" s="138" t="s">
        <v>478</v>
      </c>
      <c r="F156" s="121" t="s">
        <v>479</v>
      </c>
      <c r="G156" s="122">
        <f>3204068+110211+13565.34</f>
        <v>3327844.34</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63800</v>
      </c>
    </row>
    <row r="161" spans="3:7" ht="13.7" customHeight="1">
      <c r="C161" s="116"/>
      <c r="D161" s="116"/>
      <c r="E161" s="138" t="s">
        <v>488</v>
      </c>
      <c r="F161" s="121" t="s">
        <v>489</v>
      </c>
      <c r="G161" s="122">
        <f>4326281.71+89994.26</f>
        <v>4416275.97</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row>
    <row r="166" spans="3:7" ht="13.7" customHeight="1">
      <c r="C166" s="116"/>
      <c r="D166" s="116"/>
      <c r="E166" s="138" t="s">
        <v>498</v>
      </c>
      <c r="F166" s="121" t="s">
        <v>499</v>
      </c>
      <c r="G166" s="122">
        <v>0</v>
      </c>
    </row>
    <row r="167" spans="3:7" ht="13.7" customHeight="1">
      <c r="C167" s="116"/>
      <c r="D167" s="116"/>
      <c r="E167" s="138" t="s">
        <v>500</v>
      </c>
      <c r="F167" s="78" t="s">
        <v>501</v>
      </c>
      <c r="G167" s="79">
        <v>316400</v>
      </c>
    </row>
    <row r="168" spans="3:7" ht="13.7" customHeight="1" thickBot="1">
      <c r="C168" s="116"/>
      <c r="D168" s="116"/>
      <c r="E168" s="138"/>
      <c r="F168" s="85" t="s">
        <v>502</v>
      </c>
      <c r="G168" s="94">
        <f>SUM(G155:G167)</f>
        <v>8421141.3099999987</v>
      </c>
    </row>
    <row r="169" spans="3:7" ht="13.7" customHeight="1" thickBot="1">
      <c r="C169" s="116"/>
      <c r="D169" s="116"/>
      <c r="E169" s="138"/>
      <c r="F169" s="110" t="s">
        <v>503</v>
      </c>
      <c r="G169" s="126">
        <f>G154-G168</f>
        <v>10420775.690000001</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5047110.3599999342</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5047110.3599999342</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64" priority="2" stopIfTrue="1" operator="greaterThan">
      <formula>50</formula>
    </cfRule>
    <cfRule type="cellIs" dxfId="263" priority="11" stopIfTrue="1" operator="equal">
      <formula>0</formula>
    </cfRule>
  </conditionalFormatting>
  <conditionalFormatting sqref="D7:D61">
    <cfRule type="cellIs" dxfId="262" priority="9" stopIfTrue="1" operator="between">
      <formula>-0.1</formula>
      <formula>-50</formula>
    </cfRule>
    <cfRule type="cellIs" dxfId="261" priority="10" stopIfTrue="1" operator="between">
      <formula>0.1</formula>
      <formula>50</formula>
    </cfRule>
  </conditionalFormatting>
  <conditionalFormatting sqref="G152:G181 G7:G150">
    <cfRule type="cellIs" dxfId="260" priority="7" stopIfTrue="1" operator="between">
      <formula>-0.1</formula>
      <formula>-50</formula>
    </cfRule>
    <cfRule type="cellIs" dxfId="259" priority="8" stopIfTrue="1" operator="between">
      <formula>0.1</formula>
      <formula>50</formula>
    </cfRule>
  </conditionalFormatting>
  <conditionalFormatting sqref="D111:D155">
    <cfRule type="cellIs" dxfId="258" priority="5" stopIfTrue="1" operator="between">
      <formula>-0.1</formula>
      <formula>-50</formula>
    </cfRule>
    <cfRule type="cellIs" dxfId="257" priority="6" stopIfTrue="1" operator="between">
      <formula>0.1</formula>
      <formula>50</formula>
    </cfRule>
  </conditionalFormatting>
  <conditionalFormatting sqref="G165">
    <cfRule type="expression" dxfId="256" priority="4" stopIfTrue="1">
      <formula>AND($G$165&gt;0,$G$151&gt;0)</formula>
    </cfRule>
  </conditionalFormatting>
  <conditionalFormatting sqref="G151">
    <cfRule type="expression" dxfId="25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fitToHeight="0" orientation="portrait" r:id="rId1"/>
  <headerFooter alignWithMargins="0"/>
  <rowBreaks count="3" manualBreakCount="3">
    <brk id="79" min="2" max="8" man="1"/>
    <brk id="181" min="2" max="8" man="1"/>
    <brk id="185" min="2" max="8" man="1"/>
  </rowBreaks>
  <ignoredErrors>
    <ignoredError sqref="E7:E1048576" numberStoredAsText="1"/>
    <ignoredError sqref="G156:G161 D149 D134:D136 G137:G138 G99 D36:D46 D14:D19" unlockedFormula="1"/>
    <ignoredError sqref="G40" formulaRange="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F180" sqref="F180"/>
    </sheetView>
  </sheetViews>
  <sheetFormatPr baseColWidth="10" defaultColWidth="0" defaultRowHeight="15.75" zeroHeight="1"/>
  <cols>
    <col min="1" max="1" width="3" style="1" customWidth="1"/>
    <col min="2" max="2" width="14.28515625" style="6" hidden="1" customWidth="1"/>
    <col min="3" max="3" width="56.7109375" style="19" customWidth="1"/>
    <col min="4" max="4" width="21" style="19" customWidth="1"/>
    <col min="5" max="5" width="3.85546875" style="13" customWidth="1"/>
    <col min="6" max="6" width="57.28515625" style="19" customWidth="1"/>
    <col min="7" max="7" width="21" style="19" customWidth="1"/>
    <col min="8" max="8" width="3.140625" style="4" customWidth="1"/>
    <col min="9" max="16384" width="0" style="4" hidden="1"/>
  </cols>
  <sheetData>
    <row r="1" spans="1:9">
      <c r="B1" s="2"/>
      <c r="C1" s="255" t="s">
        <v>0</v>
      </c>
      <c r="D1" s="258"/>
      <c r="E1" s="253" t="str">
        <f>[23]Presentacion!C3</f>
        <v>CAMDEL - IAMPP</v>
      </c>
      <c r="F1" s="253"/>
      <c r="G1" s="136"/>
      <c r="H1" s="3"/>
    </row>
    <row r="2" spans="1:9">
      <c r="B2" s="5"/>
      <c r="C2" s="255" t="s">
        <v>1</v>
      </c>
      <c r="D2" s="258"/>
      <c r="E2" s="253" t="str">
        <f>[23]Presentacion!C4</f>
        <v>Lavalleja</v>
      </c>
      <c r="F2" s="253"/>
      <c r="G2" s="136"/>
      <c r="H2" s="3"/>
    </row>
    <row r="3" spans="1:9">
      <c r="B3" s="5"/>
      <c r="C3" s="255" t="s">
        <v>2</v>
      </c>
      <c r="D3" s="255"/>
      <c r="E3" s="254" t="s">
        <v>3</v>
      </c>
      <c r="F3" s="254"/>
      <c r="G3" s="136"/>
      <c r="H3" s="3"/>
    </row>
    <row r="4" spans="1:9" ht="10.5" customHeight="1" thickBot="1">
      <c r="C4" s="65"/>
      <c r="D4" s="7"/>
      <c r="E4" s="8"/>
      <c r="F4" s="9"/>
      <c r="G4" s="10"/>
    </row>
    <row r="5" spans="1:9" ht="19.5" customHeight="1" thickBot="1">
      <c r="B5" s="11"/>
      <c r="C5" s="72" t="s">
        <v>4</v>
      </c>
      <c r="D5" s="73" t="s">
        <v>5</v>
      </c>
      <c r="E5" s="137"/>
      <c r="F5" s="72" t="s">
        <v>6</v>
      </c>
      <c r="G5" s="73" t="s">
        <v>5</v>
      </c>
      <c r="I5" s="12"/>
    </row>
    <row r="6" spans="1:9" ht="12.75" customHeight="1" thickBot="1">
      <c r="B6" s="11"/>
      <c r="C6" s="75" t="s">
        <v>7</v>
      </c>
      <c r="D6" s="76">
        <f>+[23]E.S.P.!D6</f>
        <v>2021</v>
      </c>
      <c r="E6" s="138"/>
      <c r="F6" s="75" t="s">
        <v>8</v>
      </c>
      <c r="G6" s="76">
        <f>+D6</f>
        <v>2021</v>
      </c>
      <c r="H6" s="12"/>
    </row>
    <row r="7" spans="1:9">
      <c r="B7" s="5" t="s">
        <v>9</v>
      </c>
      <c r="C7" s="78" t="s">
        <v>10</v>
      </c>
      <c r="D7" s="79">
        <v>28010848</v>
      </c>
      <c r="E7" s="138" t="s">
        <v>11</v>
      </c>
      <c r="F7" s="80" t="s">
        <v>12</v>
      </c>
      <c r="G7" s="81">
        <v>4201152</v>
      </c>
    </row>
    <row r="8" spans="1:9">
      <c r="B8" s="5" t="s">
        <v>13</v>
      </c>
      <c r="C8" s="78" t="s">
        <v>14</v>
      </c>
      <c r="D8" s="79">
        <v>63573136</v>
      </c>
      <c r="E8" s="138" t="s">
        <v>15</v>
      </c>
      <c r="F8" s="78" t="s">
        <v>16</v>
      </c>
      <c r="G8" s="82">
        <v>132475588</v>
      </c>
    </row>
    <row r="9" spans="1:9">
      <c r="B9" s="5" t="s">
        <v>17</v>
      </c>
      <c r="C9" s="78" t="s">
        <v>18</v>
      </c>
      <c r="D9" s="79">
        <v>925220946</v>
      </c>
      <c r="E9" s="138" t="s">
        <v>19</v>
      </c>
      <c r="F9" s="78" t="s">
        <v>20</v>
      </c>
      <c r="G9" s="79">
        <v>0</v>
      </c>
    </row>
    <row r="10" spans="1:9">
      <c r="B10" s="5" t="s">
        <v>21</v>
      </c>
      <c r="C10" s="78" t="s">
        <v>22</v>
      </c>
      <c r="D10" s="79">
        <v>88412207</v>
      </c>
      <c r="E10" s="138" t="s">
        <v>23</v>
      </c>
      <c r="F10" s="78" t="s">
        <v>24</v>
      </c>
      <c r="G10" s="79">
        <v>225473954</v>
      </c>
    </row>
    <row r="11" spans="1:9">
      <c r="B11" s="5" t="s">
        <v>25</v>
      </c>
      <c r="C11" s="78" t="s">
        <v>26</v>
      </c>
      <c r="D11" s="79">
        <v>23227633</v>
      </c>
      <c r="E11" s="138" t="s">
        <v>27</v>
      </c>
      <c r="F11" s="78" t="s">
        <v>28</v>
      </c>
      <c r="G11" s="79">
        <v>0</v>
      </c>
    </row>
    <row r="12" spans="1:9">
      <c r="B12" s="5" t="s">
        <v>29</v>
      </c>
      <c r="C12" s="78" t="s">
        <v>30</v>
      </c>
      <c r="D12" s="79">
        <v>21013937</v>
      </c>
      <c r="E12" s="138" t="s">
        <v>31</v>
      </c>
      <c r="F12" s="78" t="s">
        <v>32</v>
      </c>
      <c r="G12" s="79">
        <v>73224863</v>
      </c>
    </row>
    <row r="13" spans="1:9">
      <c r="B13" s="5" t="s">
        <v>33</v>
      </c>
      <c r="C13" s="78" t="s">
        <v>34</v>
      </c>
      <c r="D13" s="79">
        <v>0</v>
      </c>
      <c r="E13" s="138" t="s">
        <v>35</v>
      </c>
      <c r="F13" s="78" t="s">
        <v>36</v>
      </c>
      <c r="G13" s="79">
        <v>0</v>
      </c>
    </row>
    <row r="14" spans="1:9">
      <c r="A14" s="14"/>
      <c r="B14" s="5" t="s">
        <v>37</v>
      </c>
      <c r="C14" s="78" t="s">
        <v>38</v>
      </c>
      <c r="D14" s="79">
        <v>0</v>
      </c>
      <c r="E14" s="138" t="s">
        <v>39</v>
      </c>
      <c r="F14" s="78" t="s">
        <v>40</v>
      </c>
      <c r="G14" s="79">
        <v>174430796</v>
      </c>
    </row>
    <row r="15" spans="1:9">
      <c r="B15" s="5" t="s">
        <v>41</v>
      </c>
      <c r="C15" s="83" t="s">
        <v>42</v>
      </c>
      <c r="D15" s="79">
        <v>0</v>
      </c>
      <c r="E15" s="138" t="s">
        <v>43</v>
      </c>
      <c r="F15" s="78" t="s">
        <v>44</v>
      </c>
      <c r="G15" s="79">
        <v>72871327</v>
      </c>
    </row>
    <row r="16" spans="1:9">
      <c r="B16" s="5" t="s">
        <v>45</v>
      </c>
      <c r="C16" s="78" t="s">
        <v>46</v>
      </c>
      <c r="D16" s="79">
        <v>0</v>
      </c>
      <c r="E16" s="138" t="s">
        <v>47</v>
      </c>
      <c r="F16" s="78" t="s">
        <v>48</v>
      </c>
      <c r="G16" s="79">
        <v>44983961</v>
      </c>
    </row>
    <row r="17" spans="1:7">
      <c r="B17" s="5" t="s">
        <v>49</v>
      </c>
      <c r="C17" s="78" t="s">
        <v>50</v>
      </c>
      <c r="D17" s="79">
        <v>0</v>
      </c>
      <c r="E17" s="138" t="s">
        <v>51</v>
      </c>
      <c r="F17" s="78" t="s">
        <v>52</v>
      </c>
      <c r="G17" s="79">
        <v>0</v>
      </c>
    </row>
    <row r="18" spans="1:7">
      <c r="A18" s="14"/>
      <c r="B18" s="5" t="s">
        <v>53</v>
      </c>
      <c r="C18" s="78" t="s">
        <v>54</v>
      </c>
      <c r="D18" s="79">
        <v>0</v>
      </c>
      <c r="E18" s="138" t="s">
        <v>55</v>
      </c>
      <c r="F18" s="78" t="s">
        <v>56</v>
      </c>
      <c r="G18" s="84">
        <v>25512868</v>
      </c>
    </row>
    <row r="19" spans="1:7" ht="16.5" thickBot="1">
      <c r="A19" s="14"/>
      <c r="B19" s="5" t="s">
        <v>57</v>
      </c>
      <c r="C19" s="78" t="s">
        <v>58</v>
      </c>
      <c r="D19" s="79">
        <v>40200973</v>
      </c>
      <c r="E19" s="138"/>
      <c r="F19" s="85" t="s">
        <v>59</v>
      </c>
      <c r="G19" s="86">
        <f>SUM(G7:G18)</f>
        <v>753174509</v>
      </c>
    </row>
    <row r="20" spans="1:7" ht="16.5" thickBot="1">
      <c r="B20" s="5"/>
      <c r="C20" s="85" t="s">
        <v>60</v>
      </c>
      <c r="D20" s="86">
        <f>SUM(D7:D19)</f>
        <v>1189659680</v>
      </c>
      <c r="E20" s="138" t="s">
        <v>61</v>
      </c>
      <c r="F20" s="80" t="s">
        <v>62</v>
      </c>
      <c r="G20" s="81">
        <v>233628</v>
      </c>
    </row>
    <row r="21" spans="1:7">
      <c r="B21" s="5"/>
      <c r="C21" s="87" t="s">
        <v>63</v>
      </c>
      <c r="D21" s="88">
        <f>SUM(D22:D28)</f>
        <v>11766653</v>
      </c>
      <c r="E21" s="138" t="s">
        <v>64</v>
      </c>
      <c r="F21" s="78" t="s">
        <v>65</v>
      </c>
      <c r="G21" s="79">
        <v>19905726</v>
      </c>
    </row>
    <row r="22" spans="1:7">
      <c r="B22" s="5" t="s">
        <v>66</v>
      </c>
      <c r="C22" s="78" t="s">
        <v>67</v>
      </c>
      <c r="D22" s="79">
        <v>7828027</v>
      </c>
      <c r="E22" s="138" t="s">
        <v>68</v>
      </c>
      <c r="F22" s="78" t="s">
        <v>69</v>
      </c>
      <c r="G22" s="79">
        <v>4072066</v>
      </c>
    </row>
    <row r="23" spans="1:7">
      <c r="B23" s="5" t="s">
        <v>70</v>
      </c>
      <c r="C23" s="78" t="s">
        <v>71</v>
      </c>
      <c r="D23" s="79">
        <v>445913</v>
      </c>
      <c r="E23" s="138" t="s">
        <v>72</v>
      </c>
      <c r="F23" s="78" t="s">
        <v>73</v>
      </c>
      <c r="G23" s="79">
        <v>16254151</v>
      </c>
    </row>
    <row r="24" spans="1:7">
      <c r="B24" s="5" t="s">
        <v>74</v>
      </c>
      <c r="C24" s="78" t="s">
        <v>75</v>
      </c>
      <c r="D24" s="79">
        <v>2285192</v>
      </c>
      <c r="E24" s="138" t="s">
        <v>76</v>
      </c>
      <c r="F24" s="78" t="s">
        <v>77</v>
      </c>
      <c r="G24" s="79">
        <v>0</v>
      </c>
    </row>
    <row r="25" spans="1:7">
      <c r="B25" s="5" t="s">
        <v>78</v>
      </c>
      <c r="C25" s="78" t="s">
        <v>79</v>
      </c>
      <c r="D25" s="79">
        <v>282182</v>
      </c>
      <c r="E25" s="138" t="s">
        <v>80</v>
      </c>
      <c r="F25" s="78" t="s">
        <v>81</v>
      </c>
      <c r="G25" s="79">
        <v>4000799.88</v>
      </c>
    </row>
    <row r="26" spans="1:7">
      <c r="B26" s="5" t="s">
        <v>82</v>
      </c>
      <c r="C26" s="78" t="s">
        <v>83</v>
      </c>
      <c r="D26" s="79">
        <v>549885</v>
      </c>
      <c r="E26" s="138" t="s">
        <v>84</v>
      </c>
      <c r="F26" s="78" t="s">
        <v>85</v>
      </c>
      <c r="G26" s="84">
        <v>1546048</v>
      </c>
    </row>
    <row r="27" spans="1:7" ht="13.5" customHeight="1" thickBot="1">
      <c r="B27" s="5" t="s">
        <v>86</v>
      </c>
      <c r="C27" s="78" t="s">
        <v>87</v>
      </c>
      <c r="D27" s="79">
        <v>0</v>
      </c>
      <c r="E27" s="138"/>
      <c r="F27" s="85" t="s">
        <v>88</v>
      </c>
      <c r="G27" s="86">
        <f>SUM(G20:G26)</f>
        <v>46012418.880000003</v>
      </c>
    </row>
    <row r="28" spans="1:7">
      <c r="B28" s="5" t="s">
        <v>89</v>
      </c>
      <c r="C28" s="78" t="s">
        <v>90</v>
      </c>
      <c r="D28" s="79">
        <v>375454</v>
      </c>
      <c r="E28" s="138" t="s">
        <v>91</v>
      </c>
      <c r="F28" s="80" t="s">
        <v>92</v>
      </c>
      <c r="G28" s="81">
        <v>79903083</v>
      </c>
    </row>
    <row r="29" spans="1:7">
      <c r="B29" s="5"/>
      <c r="C29" s="89" t="s">
        <v>93</v>
      </c>
      <c r="D29" s="88">
        <f>SUM(D30:D34)</f>
        <v>94994085</v>
      </c>
      <c r="E29" s="138" t="s">
        <v>94</v>
      </c>
      <c r="F29" s="78" t="s">
        <v>95</v>
      </c>
      <c r="G29" s="79">
        <v>0</v>
      </c>
    </row>
    <row r="30" spans="1:7">
      <c r="B30" s="5" t="s">
        <v>96</v>
      </c>
      <c r="C30" s="78" t="s">
        <v>97</v>
      </c>
      <c r="D30" s="79">
        <v>79338149</v>
      </c>
      <c r="E30" s="138" t="s">
        <v>98</v>
      </c>
      <c r="F30" s="78" t="s">
        <v>99</v>
      </c>
      <c r="G30" s="79">
        <v>7430311</v>
      </c>
    </row>
    <row r="31" spans="1:7">
      <c r="B31" s="5" t="s">
        <v>100</v>
      </c>
      <c r="C31" s="78" t="s">
        <v>101</v>
      </c>
      <c r="D31" s="79">
        <v>8082296</v>
      </c>
      <c r="E31" s="138" t="s">
        <v>102</v>
      </c>
      <c r="F31" s="78" t="s">
        <v>103</v>
      </c>
      <c r="G31" s="84">
        <v>3040859</v>
      </c>
    </row>
    <row r="32" spans="1:7" ht="16.5" thickBot="1">
      <c r="B32" s="5" t="s">
        <v>104</v>
      </c>
      <c r="C32" s="78" t="s">
        <v>105</v>
      </c>
      <c r="D32" s="79">
        <v>4435289</v>
      </c>
      <c r="E32" s="138"/>
      <c r="F32" s="85" t="s">
        <v>106</v>
      </c>
      <c r="G32" s="86">
        <f>SUM(G28:G31)</f>
        <v>90374253</v>
      </c>
    </row>
    <row r="33" spans="2:7">
      <c r="B33" s="5" t="s">
        <v>107</v>
      </c>
      <c r="C33" s="78" t="s">
        <v>108</v>
      </c>
      <c r="D33" s="79">
        <v>53781</v>
      </c>
      <c r="E33" s="138"/>
      <c r="F33" s="89" t="s">
        <v>109</v>
      </c>
      <c r="G33" s="88">
        <f>SUM(G34:G39)</f>
        <v>85038428</v>
      </c>
    </row>
    <row r="34" spans="2:7">
      <c r="B34" s="5" t="s">
        <v>110</v>
      </c>
      <c r="C34" s="78" t="s">
        <v>111</v>
      </c>
      <c r="D34" s="79">
        <v>3084570</v>
      </c>
      <c r="E34" s="138" t="s">
        <v>112</v>
      </c>
      <c r="F34" s="78" t="s">
        <v>113</v>
      </c>
      <c r="G34" s="79">
        <v>13457713</v>
      </c>
    </row>
    <row r="35" spans="2:7" ht="16.5" thickBot="1">
      <c r="B35" s="5"/>
      <c r="C35" s="85" t="s">
        <v>114</v>
      </c>
      <c r="D35" s="86">
        <f>+D21+D29</f>
        <v>106760738</v>
      </c>
      <c r="E35" s="138" t="s">
        <v>115</v>
      </c>
      <c r="F35" s="78" t="s">
        <v>116</v>
      </c>
      <c r="G35" s="79">
        <v>1087719</v>
      </c>
    </row>
    <row r="36" spans="2:7">
      <c r="B36" s="5" t="s">
        <v>117</v>
      </c>
      <c r="C36" s="78" t="s">
        <v>118</v>
      </c>
      <c r="D36" s="79">
        <v>9088203</v>
      </c>
      <c r="E36" s="138" t="s">
        <v>119</v>
      </c>
      <c r="F36" s="78" t="s">
        <v>517</v>
      </c>
      <c r="G36" s="79">
        <v>1222459</v>
      </c>
    </row>
    <row r="37" spans="2:7">
      <c r="B37" s="5" t="s">
        <v>120</v>
      </c>
      <c r="C37" s="78" t="s">
        <v>121</v>
      </c>
      <c r="D37" s="79">
        <v>523211</v>
      </c>
      <c r="E37" s="138" t="s">
        <v>122</v>
      </c>
      <c r="F37" s="78" t="s">
        <v>123</v>
      </c>
      <c r="G37" s="79">
        <v>4591986</v>
      </c>
    </row>
    <row r="38" spans="2:7">
      <c r="B38" s="5" t="s">
        <v>124</v>
      </c>
      <c r="C38" s="78" t="s">
        <v>125</v>
      </c>
      <c r="D38" s="79">
        <v>21529385</v>
      </c>
      <c r="E38" s="138" t="s">
        <v>126</v>
      </c>
      <c r="F38" s="78" t="s">
        <v>127</v>
      </c>
      <c r="G38" s="79">
        <v>11207522</v>
      </c>
    </row>
    <row r="39" spans="2:7">
      <c r="B39" s="5" t="s">
        <v>128</v>
      </c>
      <c r="C39" s="78" t="s">
        <v>129</v>
      </c>
      <c r="D39" s="79">
        <v>0</v>
      </c>
      <c r="E39" s="138" t="s">
        <v>130</v>
      </c>
      <c r="F39" s="78" t="s">
        <v>131</v>
      </c>
      <c r="G39" s="79">
        <v>53471029</v>
      </c>
    </row>
    <row r="40" spans="2:7">
      <c r="B40" s="5" t="s">
        <v>132</v>
      </c>
      <c r="C40" s="78" t="s">
        <v>133</v>
      </c>
      <c r="D40" s="79">
        <v>1855909</v>
      </c>
      <c r="E40" s="138"/>
      <c r="F40" s="90" t="s">
        <v>134</v>
      </c>
      <c r="G40" s="91">
        <f>SUM(G41:G46)</f>
        <v>25086170</v>
      </c>
    </row>
    <row r="41" spans="2:7">
      <c r="B41" s="5" t="s">
        <v>135</v>
      </c>
      <c r="C41" s="78" t="s">
        <v>136</v>
      </c>
      <c r="D41" s="79">
        <v>0</v>
      </c>
      <c r="E41" s="138" t="s">
        <v>137</v>
      </c>
      <c r="F41" s="78" t="s">
        <v>138</v>
      </c>
      <c r="G41" s="79">
        <v>3700243</v>
      </c>
    </row>
    <row r="42" spans="2:7">
      <c r="B42" s="5" t="s">
        <v>139</v>
      </c>
      <c r="C42" s="78" t="s">
        <v>140</v>
      </c>
      <c r="D42" s="79">
        <v>14413395</v>
      </c>
      <c r="E42" s="138" t="s">
        <v>141</v>
      </c>
      <c r="F42" s="78" t="s">
        <v>142</v>
      </c>
      <c r="G42" s="79">
        <v>82544</v>
      </c>
    </row>
    <row r="43" spans="2:7">
      <c r="B43" s="5" t="s">
        <v>143</v>
      </c>
      <c r="C43" s="78" t="s">
        <v>144</v>
      </c>
      <c r="D43" s="79">
        <v>0</v>
      </c>
      <c r="E43" s="138" t="s">
        <v>145</v>
      </c>
      <c r="F43" s="78" t="s">
        <v>146</v>
      </c>
      <c r="G43" s="79">
        <v>1459572</v>
      </c>
    </row>
    <row r="44" spans="2:7">
      <c r="B44" s="5" t="s">
        <v>147</v>
      </c>
      <c r="C44" s="78" t="s">
        <v>148</v>
      </c>
      <c r="D44" s="79">
        <v>0</v>
      </c>
      <c r="E44" s="138" t="s">
        <v>149</v>
      </c>
      <c r="F44" s="78" t="s">
        <v>150</v>
      </c>
      <c r="G44" s="79">
        <v>1129289</v>
      </c>
    </row>
    <row r="45" spans="2:7">
      <c r="B45" s="5" t="s">
        <v>151</v>
      </c>
      <c r="C45" s="78" t="s">
        <v>152</v>
      </c>
      <c r="D45" s="79">
        <v>4019940</v>
      </c>
      <c r="E45" s="138" t="s">
        <v>153</v>
      </c>
      <c r="F45" s="78" t="s">
        <v>154</v>
      </c>
      <c r="G45" s="79">
        <v>1242829</v>
      </c>
    </row>
    <row r="46" spans="2:7">
      <c r="B46" s="5" t="s">
        <v>155</v>
      </c>
      <c r="C46" s="78" t="s">
        <v>156</v>
      </c>
      <c r="D46" s="79">
        <v>1504491</v>
      </c>
      <c r="E46" s="138" t="s">
        <v>157</v>
      </c>
      <c r="F46" s="78" t="s">
        <v>158</v>
      </c>
      <c r="G46" s="79">
        <v>17471693</v>
      </c>
    </row>
    <row r="47" spans="2:7" ht="16.5" thickBot="1">
      <c r="B47" s="5"/>
      <c r="C47" s="85" t="s">
        <v>159</v>
      </c>
      <c r="D47" s="86">
        <f>SUM(D36:D46)</f>
        <v>52934534</v>
      </c>
      <c r="E47" s="138" t="s">
        <v>160</v>
      </c>
      <c r="F47" s="78" t="s">
        <v>161</v>
      </c>
      <c r="G47" s="84">
        <v>3757528</v>
      </c>
    </row>
    <row r="48" spans="2:7" ht="16.5" thickBot="1">
      <c r="B48" s="5"/>
      <c r="C48" s="92" t="s">
        <v>162</v>
      </c>
      <c r="D48" s="93"/>
      <c r="E48" s="138"/>
      <c r="F48" s="85" t="s">
        <v>163</v>
      </c>
      <c r="G48" s="94">
        <f>+G33+G40+G47</f>
        <v>113882126</v>
      </c>
    </row>
    <row r="49" spans="2:7">
      <c r="B49" s="5" t="s">
        <v>164</v>
      </c>
      <c r="C49" s="95" t="s">
        <v>165</v>
      </c>
      <c r="D49" s="96">
        <v>0</v>
      </c>
      <c r="E49" s="138" t="s">
        <v>166</v>
      </c>
      <c r="F49" s="80" t="s">
        <v>167</v>
      </c>
      <c r="G49" s="81">
        <v>23854966</v>
      </c>
    </row>
    <row r="50" spans="2:7">
      <c r="B50" s="5" t="s">
        <v>168</v>
      </c>
      <c r="C50" s="78" t="s">
        <v>162</v>
      </c>
      <c r="D50" s="79">
        <v>4682744</v>
      </c>
      <c r="E50" s="138" t="s">
        <v>169</v>
      </c>
      <c r="F50" s="78" t="s">
        <v>170</v>
      </c>
      <c r="G50" s="79">
        <v>41320145</v>
      </c>
    </row>
    <row r="51" spans="2:7">
      <c r="B51" s="5" t="s">
        <v>171</v>
      </c>
      <c r="C51" s="78" t="s">
        <v>172</v>
      </c>
      <c r="D51" s="84">
        <v>485.26</v>
      </c>
      <c r="E51" s="138" t="s">
        <v>173</v>
      </c>
      <c r="F51" s="78" t="s">
        <v>174</v>
      </c>
      <c r="G51" s="79">
        <v>1072841</v>
      </c>
    </row>
    <row r="52" spans="2:7" ht="16.5" thickBot="1">
      <c r="B52" s="11"/>
      <c r="C52" s="85" t="s">
        <v>175</v>
      </c>
      <c r="D52" s="86">
        <f>SUM(D49:D51)</f>
        <v>4683229.26</v>
      </c>
      <c r="E52" s="138" t="s">
        <v>176</v>
      </c>
      <c r="F52" s="78" t="s">
        <v>177</v>
      </c>
      <c r="G52" s="79">
        <v>3106064</v>
      </c>
    </row>
    <row r="53" spans="2:7" ht="16.5" thickBot="1">
      <c r="B53" s="5"/>
      <c r="C53" s="75" t="s">
        <v>178</v>
      </c>
      <c r="D53" s="97">
        <f>D20+D35+D47+D52</f>
        <v>1354038181.26</v>
      </c>
      <c r="E53" s="138" t="s">
        <v>179</v>
      </c>
      <c r="F53" s="78" t="s">
        <v>180</v>
      </c>
      <c r="G53" s="79">
        <v>7542787</v>
      </c>
    </row>
    <row r="54" spans="2:7">
      <c r="C54" s="98"/>
      <c r="D54" s="99"/>
      <c r="E54" s="138" t="s">
        <v>181</v>
      </c>
      <c r="F54" s="78" t="s">
        <v>182</v>
      </c>
      <c r="G54" s="79">
        <v>1208271</v>
      </c>
    </row>
    <row r="55" spans="2:7">
      <c r="C55" s="100" t="s">
        <v>183</v>
      </c>
      <c r="D55" s="101"/>
      <c r="E55" s="138" t="s">
        <v>184</v>
      </c>
      <c r="F55" s="78" t="s">
        <v>185</v>
      </c>
      <c r="G55" s="79">
        <v>0</v>
      </c>
    </row>
    <row r="56" spans="2:7">
      <c r="B56" s="5" t="s">
        <v>186</v>
      </c>
      <c r="C56" s="102" t="s">
        <v>187</v>
      </c>
      <c r="D56" s="79">
        <v>0</v>
      </c>
      <c r="E56" s="138" t="s">
        <v>188</v>
      </c>
      <c r="F56" s="78" t="s">
        <v>189</v>
      </c>
      <c r="G56" s="84">
        <v>2631300</v>
      </c>
    </row>
    <row r="57" spans="2:7" ht="14.25" customHeight="1" thickBot="1">
      <c r="B57" s="5" t="s">
        <v>190</v>
      </c>
      <c r="C57" s="102" t="s">
        <v>191</v>
      </c>
      <c r="D57" s="79">
        <v>0</v>
      </c>
      <c r="E57" s="138"/>
      <c r="F57" s="85" t="s">
        <v>192</v>
      </c>
      <c r="G57" s="86">
        <f>SUM(G49:G56)</f>
        <v>80736374</v>
      </c>
    </row>
    <row r="58" spans="2:7">
      <c r="B58" s="5" t="s">
        <v>193</v>
      </c>
      <c r="C58" s="102" t="s">
        <v>194</v>
      </c>
      <c r="D58" s="79">
        <v>0</v>
      </c>
      <c r="E58" s="138" t="s">
        <v>195</v>
      </c>
      <c r="F58" s="80" t="s">
        <v>196</v>
      </c>
      <c r="G58" s="81">
        <v>0</v>
      </c>
    </row>
    <row r="59" spans="2:7">
      <c r="B59" s="5" t="s">
        <v>197</v>
      </c>
      <c r="C59" s="78" t="s">
        <v>198</v>
      </c>
      <c r="D59" s="84">
        <v>0</v>
      </c>
      <c r="E59" s="138" t="s">
        <v>199</v>
      </c>
      <c r="F59" s="78" t="s">
        <v>200</v>
      </c>
      <c r="G59" s="79">
        <v>5378390</v>
      </c>
    </row>
    <row r="60" spans="2:7" ht="16.5" thickBot="1">
      <c r="B60" s="5"/>
      <c r="C60" s="85" t="s">
        <v>201</v>
      </c>
      <c r="D60" s="86">
        <f>SUM(D56:D59)</f>
        <v>0</v>
      </c>
      <c r="E60" s="138" t="s">
        <v>202</v>
      </c>
      <c r="F60" s="78" t="s">
        <v>203</v>
      </c>
      <c r="G60" s="79">
        <v>588297</v>
      </c>
    </row>
    <row r="61" spans="2:7" ht="16.5" thickBot="1">
      <c r="B61" s="15"/>
      <c r="C61" s="72" t="s">
        <v>204</v>
      </c>
      <c r="D61" s="103">
        <f>D53+D60</f>
        <v>1354038181.26</v>
      </c>
      <c r="E61" s="138" t="s">
        <v>205</v>
      </c>
      <c r="F61" s="78" t="s">
        <v>206</v>
      </c>
      <c r="G61" s="79">
        <v>1609785</v>
      </c>
    </row>
    <row r="62" spans="2:7">
      <c r="B62" s="16"/>
      <c r="C62" s="116"/>
      <c r="D62" s="116"/>
      <c r="E62" s="138" t="s">
        <v>207</v>
      </c>
      <c r="F62" s="78" t="s">
        <v>208</v>
      </c>
      <c r="G62" s="79">
        <v>0</v>
      </c>
    </row>
    <row r="63" spans="2:7">
      <c r="B63" s="17"/>
      <c r="C63" s="222" t="s">
        <v>8</v>
      </c>
      <c r="D63" s="222"/>
      <c r="E63" s="138" t="s">
        <v>209</v>
      </c>
      <c r="F63" s="78" t="s">
        <v>210</v>
      </c>
      <c r="G63" s="79">
        <v>8664634</v>
      </c>
    </row>
    <row r="64" spans="2:7">
      <c r="B64" s="18" t="s">
        <v>211</v>
      </c>
      <c r="C64" s="223" t="s">
        <v>212</v>
      </c>
      <c r="D64" s="223">
        <f>[23]Amortizaciones!D6</f>
        <v>12569074</v>
      </c>
      <c r="E64" s="138" t="s">
        <v>213</v>
      </c>
      <c r="F64" s="78" t="s">
        <v>214</v>
      </c>
      <c r="G64" s="79">
        <v>0</v>
      </c>
    </row>
    <row r="65" spans="2:7">
      <c r="B65" s="18" t="s">
        <v>215</v>
      </c>
      <c r="C65" s="223" t="s">
        <v>216</v>
      </c>
      <c r="D65" s="223">
        <f>[23]Amortizaciones!D7</f>
        <v>0</v>
      </c>
      <c r="E65" s="138" t="s">
        <v>217</v>
      </c>
      <c r="F65" s="78" t="s">
        <v>218</v>
      </c>
      <c r="G65" s="79">
        <v>3392974</v>
      </c>
    </row>
    <row r="66" spans="2:7">
      <c r="B66" s="18" t="s">
        <v>219</v>
      </c>
      <c r="C66" s="223" t="s">
        <v>220</v>
      </c>
      <c r="D66" s="223">
        <f>[23]Amortizaciones!D8</f>
        <v>8310747</v>
      </c>
      <c r="E66" s="138" t="s">
        <v>221</v>
      </c>
      <c r="F66" s="78" t="s">
        <v>222</v>
      </c>
      <c r="G66" s="79">
        <v>7857339</v>
      </c>
    </row>
    <row r="67" spans="2:7">
      <c r="B67" s="18" t="s">
        <v>223</v>
      </c>
      <c r="C67" s="223" t="s">
        <v>224</v>
      </c>
      <c r="D67" s="223">
        <f>[23]Amortizaciones!D9</f>
        <v>0</v>
      </c>
      <c r="E67" s="138" t="s">
        <v>225</v>
      </c>
      <c r="F67" s="78" t="s">
        <v>226</v>
      </c>
      <c r="G67" s="79">
        <v>267478</v>
      </c>
    </row>
    <row r="68" spans="2:7">
      <c r="B68" s="18" t="s">
        <v>227</v>
      </c>
      <c r="C68" s="223" t="s">
        <v>228</v>
      </c>
      <c r="D68" s="223">
        <f>[23]Amortizaciones!D10</f>
        <v>0</v>
      </c>
      <c r="E68" s="138" t="s">
        <v>229</v>
      </c>
      <c r="F68" s="78" t="s">
        <v>230</v>
      </c>
      <c r="G68" s="79">
        <v>0</v>
      </c>
    </row>
    <row r="69" spans="2:7">
      <c r="B69" s="18" t="s">
        <v>231</v>
      </c>
      <c r="C69" s="223" t="s">
        <v>232</v>
      </c>
      <c r="D69" s="223">
        <f>[23]Amortizaciones!D11</f>
        <v>183498</v>
      </c>
      <c r="E69" s="138" t="s">
        <v>233</v>
      </c>
      <c r="F69" s="78" t="s">
        <v>234</v>
      </c>
      <c r="G69" s="79">
        <v>0</v>
      </c>
    </row>
    <row r="70" spans="2:7">
      <c r="B70" s="18" t="s">
        <v>235</v>
      </c>
      <c r="C70" s="223" t="s">
        <v>236</v>
      </c>
      <c r="D70" s="223">
        <f>[23]Amortizaciones!D12</f>
        <v>0</v>
      </c>
      <c r="E70" s="138" t="s">
        <v>237</v>
      </c>
      <c r="F70" s="78" t="s">
        <v>238</v>
      </c>
      <c r="G70" s="79">
        <v>37484</v>
      </c>
    </row>
    <row r="71" spans="2:7">
      <c r="B71" s="18" t="s">
        <v>239</v>
      </c>
      <c r="C71" s="223" t="s">
        <v>240</v>
      </c>
      <c r="D71" s="223">
        <f>[23]Amortizaciones!D13</f>
        <v>0</v>
      </c>
      <c r="E71" s="138" t="s">
        <v>241</v>
      </c>
      <c r="F71" s="78" t="s">
        <v>242</v>
      </c>
      <c r="G71" s="79">
        <v>7096745</v>
      </c>
    </row>
    <row r="72" spans="2:7">
      <c r="B72" s="18" t="s">
        <v>243</v>
      </c>
      <c r="C72" s="223" t="s">
        <v>244</v>
      </c>
      <c r="D72" s="223">
        <f>[23]Amortizaciones!D14</f>
        <v>0</v>
      </c>
      <c r="E72" s="138" t="s">
        <v>245</v>
      </c>
      <c r="F72" s="78" t="s">
        <v>246</v>
      </c>
      <c r="G72" s="79">
        <v>1174186</v>
      </c>
    </row>
    <row r="73" spans="2:7">
      <c r="B73" s="18" t="s">
        <v>247</v>
      </c>
      <c r="C73" s="223" t="s">
        <v>248</v>
      </c>
      <c r="D73" s="223">
        <f>[23]Amortizaciones!D15</f>
        <v>2162302</v>
      </c>
      <c r="E73" s="138" t="s">
        <v>249</v>
      </c>
      <c r="F73" s="78" t="s">
        <v>250</v>
      </c>
      <c r="G73" s="79">
        <v>0</v>
      </c>
    </row>
    <row r="74" spans="2:7">
      <c r="B74" s="18" t="s">
        <v>251</v>
      </c>
      <c r="C74" s="223" t="s">
        <v>252</v>
      </c>
      <c r="D74" s="223">
        <f>[23]Amortizaciones!D16</f>
        <v>0</v>
      </c>
      <c r="E74" s="138" t="s">
        <v>253</v>
      </c>
      <c r="F74" s="78" t="s">
        <v>254</v>
      </c>
      <c r="G74" s="79">
        <v>16806</v>
      </c>
    </row>
    <row r="75" spans="2:7">
      <c r="B75" s="18" t="s">
        <v>255</v>
      </c>
      <c r="C75" s="223" t="s">
        <v>256</v>
      </c>
      <c r="D75" s="223">
        <f>[23]Amortizaciones!D17</f>
        <v>0</v>
      </c>
      <c r="E75" s="138" t="s">
        <v>257</v>
      </c>
      <c r="F75" s="78" t="s">
        <v>258</v>
      </c>
      <c r="G75" s="79">
        <v>4380706</v>
      </c>
    </row>
    <row r="76" spans="2:7">
      <c r="B76" s="18" t="s">
        <v>259</v>
      </c>
      <c r="C76" s="223" t="s">
        <v>260</v>
      </c>
      <c r="D76" s="223">
        <f>[23]Amortizaciones!D18</f>
        <v>0</v>
      </c>
      <c r="E76" s="138" t="s">
        <v>261</v>
      </c>
      <c r="F76" s="78" t="s">
        <v>262</v>
      </c>
      <c r="G76" s="79">
        <v>30142033</v>
      </c>
    </row>
    <row r="77" spans="2:7">
      <c r="B77" s="18" t="s">
        <v>263</v>
      </c>
      <c r="C77" s="223" t="s">
        <v>264</v>
      </c>
      <c r="D77" s="223">
        <f>SUM(D64:D76)</f>
        <v>23225621</v>
      </c>
      <c r="E77" s="138" t="s">
        <v>265</v>
      </c>
      <c r="F77" s="78" t="s">
        <v>266</v>
      </c>
      <c r="G77" s="79">
        <v>54145147</v>
      </c>
    </row>
    <row r="78" spans="2:7">
      <c r="B78" s="18"/>
      <c r="C78" s="223"/>
      <c r="D78" s="223"/>
      <c r="E78" s="138" t="s">
        <v>267</v>
      </c>
      <c r="F78" s="78" t="s">
        <v>268</v>
      </c>
      <c r="G78" s="84">
        <v>4124989</v>
      </c>
    </row>
    <row r="79" spans="2:7" ht="16.5" thickBot="1">
      <c r="B79" s="18"/>
      <c r="C79" s="222" t="s">
        <v>269</v>
      </c>
      <c r="D79" s="224"/>
      <c r="E79" s="138"/>
      <c r="F79" s="85" t="s">
        <v>270</v>
      </c>
      <c r="G79" s="86">
        <f>SUM(G58:G78)</f>
        <v>128876993</v>
      </c>
    </row>
    <row r="80" spans="2:7">
      <c r="B80" s="18" t="s">
        <v>271</v>
      </c>
      <c r="C80" s="223" t="s">
        <v>236</v>
      </c>
      <c r="D80" s="223">
        <f>[23]Amortizaciones!D22</f>
        <v>1038969</v>
      </c>
      <c r="E80" s="138" t="s">
        <v>272</v>
      </c>
      <c r="F80" s="80" t="s">
        <v>273</v>
      </c>
      <c r="G80" s="81">
        <v>0</v>
      </c>
    </row>
    <row r="81" spans="2:7">
      <c r="B81" s="18" t="s">
        <v>274</v>
      </c>
      <c r="C81" s="223" t="s">
        <v>240</v>
      </c>
      <c r="D81" s="223">
        <f>[23]Amortizaciones!D23</f>
        <v>263195</v>
      </c>
      <c r="E81" s="138" t="s">
        <v>275</v>
      </c>
      <c r="F81" s="78" t="s">
        <v>276</v>
      </c>
      <c r="G81" s="79">
        <v>9115602</v>
      </c>
    </row>
    <row r="82" spans="2:7">
      <c r="B82" s="18" t="s">
        <v>277</v>
      </c>
      <c r="C82" s="223" t="s">
        <v>244</v>
      </c>
      <c r="D82" s="223">
        <f>[23]Amortizaciones!D24</f>
        <v>1380012</v>
      </c>
      <c r="E82" s="138" t="s">
        <v>278</v>
      </c>
      <c r="F82" s="78" t="s">
        <v>279</v>
      </c>
      <c r="G82" s="79">
        <v>3473411</v>
      </c>
    </row>
    <row r="83" spans="2:7">
      <c r="B83" s="18" t="s">
        <v>280</v>
      </c>
      <c r="C83" s="223" t="s">
        <v>248</v>
      </c>
      <c r="D83" s="223">
        <f>[23]Amortizaciones!D25</f>
        <v>0</v>
      </c>
      <c r="E83" s="138" t="s">
        <v>281</v>
      </c>
      <c r="F83" s="78" t="s">
        <v>282</v>
      </c>
      <c r="G83" s="79">
        <v>3251762</v>
      </c>
    </row>
    <row r="84" spans="2:7">
      <c r="B84" s="18" t="s">
        <v>283</v>
      </c>
      <c r="C84" s="223" t="s">
        <v>284</v>
      </c>
      <c r="D84" s="223">
        <v>0</v>
      </c>
      <c r="E84" s="138" t="s">
        <v>285</v>
      </c>
      <c r="F84" s="78" t="s">
        <v>286</v>
      </c>
      <c r="G84" s="79">
        <v>6645743</v>
      </c>
    </row>
    <row r="85" spans="2:7">
      <c r="B85" s="18" t="s">
        <v>287</v>
      </c>
      <c r="C85" s="223" t="s">
        <v>288</v>
      </c>
      <c r="D85" s="223">
        <f>[23]Amortizaciones!D27</f>
        <v>0</v>
      </c>
      <c r="E85" s="138" t="s">
        <v>289</v>
      </c>
      <c r="F85" s="78" t="s">
        <v>290</v>
      </c>
      <c r="G85" s="79">
        <v>1498275</v>
      </c>
    </row>
    <row r="86" spans="2:7" ht="13.5" customHeight="1">
      <c r="B86" s="18" t="s">
        <v>291</v>
      </c>
      <c r="C86" s="223" t="s">
        <v>292</v>
      </c>
      <c r="D86" s="223">
        <f>[23]Amortizaciones!D28</f>
        <v>0</v>
      </c>
      <c r="E86" s="138" t="s">
        <v>293</v>
      </c>
      <c r="F86" s="78" t="s">
        <v>294</v>
      </c>
      <c r="G86" s="79">
        <v>968152</v>
      </c>
    </row>
    <row r="87" spans="2:7" ht="13.5" customHeight="1">
      <c r="B87" s="18" t="s">
        <v>295</v>
      </c>
      <c r="C87" s="223" t="s">
        <v>296</v>
      </c>
      <c r="D87" s="223">
        <f>[23]Amortizaciones!D29</f>
        <v>0</v>
      </c>
      <c r="E87" s="138" t="s">
        <v>297</v>
      </c>
      <c r="F87" s="78" t="s">
        <v>298</v>
      </c>
      <c r="G87" s="79">
        <v>497287</v>
      </c>
    </row>
    <row r="88" spans="2:7" ht="13.5" customHeight="1">
      <c r="B88" s="18" t="s">
        <v>299</v>
      </c>
      <c r="C88" s="223" t="s">
        <v>300</v>
      </c>
      <c r="D88" s="223">
        <f>[23]Amortizaciones!D30</f>
        <v>355589</v>
      </c>
      <c r="E88" s="138" t="s">
        <v>301</v>
      </c>
      <c r="F88" s="78" t="s">
        <v>302</v>
      </c>
      <c r="G88" s="79">
        <v>0</v>
      </c>
    </row>
    <row r="89" spans="2:7">
      <c r="B89" s="18" t="s">
        <v>303</v>
      </c>
      <c r="C89" s="223" t="s">
        <v>212</v>
      </c>
      <c r="D89" s="223">
        <f>[23]Amortizaciones!D31</f>
        <v>0</v>
      </c>
      <c r="E89" s="138" t="s">
        <v>304</v>
      </c>
      <c r="F89" s="78" t="s">
        <v>305</v>
      </c>
      <c r="G89" s="79">
        <v>6539505</v>
      </c>
    </row>
    <row r="90" spans="2:7" ht="14.25" customHeight="1">
      <c r="B90" s="18" t="s">
        <v>306</v>
      </c>
      <c r="C90" s="223" t="s">
        <v>228</v>
      </c>
      <c r="D90" s="223">
        <f>[23]Amortizaciones!D32</f>
        <v>16623</v>
      </c>
      <c r="E90" s="138" t="s">
        <v>307</v>
      </c>
      <c r="F90" s="78" t="s">
        <v>308</v>
      </c>
      <c r="G90" s="79">
        <v>0</v>
      </c>
    </row>
    <row r="91" spans="2:7" ht="14.25" customHeight="1">
      <c r="B91" s="18" t="s">
        <v>309</v>
      </c>
      <c r="C91" s="223" t="s">
        <v>310</v>
      </c>
      <c r="D91" s="223">
        <f>SUM(D80:D90)</f>
        <v>3054388</v>
      </c>
      <c r="E91" s="225" t="s">
        <v>311</v>
      </c>
      <c r="F91" s="78" t="s">
        <v>312</v>
      </c>
      <c r="G91" s="79">
        <v>857057</v>
      </c>
    </row>
    <row r="92" spans="2:7" ht="14.25" customHeight="1">
      <c r="B92" s="18"/>
      <c r="C92" s="226" t="s">
        <v>313</v>
      </c>
      <c r="D92" s="223">
        <f>D77+D91</f>
        <v>26280009</v>
      </c>
      <c r="E92" s="225" t="s">
        <v>314</v>
      </c>
      <c r="F92" s="78" t="s">
        <v>315</v>
      </c>
      <c r="G92" s="79">
        <v>8869</v>
      </c>
    </row>
    <row r="93" spans="2:7">
      <c r="C93" s="116"/>
      <c r="D93" s="116"/>
      <c r="E93" s="225" t="s">
        <v>316</v>
      </c>
      <c r="F93" s="78" t="s">
        <v>317</v>
      </c>
      <c r="G93" s="79">
        <v>4428914</v>
      </c>
    </row>
    <row r="94" spans="2:7">
      <c r="C94" s="116"/>
      <c r="D94" s="116"/>
      <c r="E94" s="225" t="s">
        <v>318</v>
      </c>
      <c r="F94" s="78" t="s">
        <v>319</v>
      </c>
      <c r="G94" s="84">
        <v>1237938</v>
      </c>
    </row>
    <row r="95" spans="2:7" ht="13.5" customHeight="1" thickBot="1">
      <c r="C95" s="116"/>
      <c r="D95" s="116"/>
      <c r="E95" s="138"/>
      <c r="F95" s="85" t="s">
        <v>320</v>
      </c>
      <c r="G95" s="86">
        <f>SUM(G80:G94)</f>
        <v>38522515</v>
      </c>
    </row>
    <row r="96" spans="2:7">
      <c r="C96" s="116"/>
      <c r="D96" s="116"/>
      <c r="E96" s="225" t="s">
        <v>321</v>
      </c>
      <c r="F96" s="80" t="s">
        <v>322</v>
      </c>
      <c r="G96" s="81">
        <v>4275190</v>
      </c>
    </row>
    <row r="97" spans="2:7">
      <c r="C97" s="116"/>
      <c r="D97" s="116"/>
      <c r="E97" s="225" t="s">
        <v>323</v>
      </c>
      <c r="F97" s="78" t="s">
        <v>324</v>
      </c>
      <c r="G97" s="79">
        <v>4301602</v>
      </c>
    </row>
    <row r="98" spans="2:7">
      <c r="C98" s="116"/>
      <c r="D98" s="116"/>
      <c r="E98" s="225" t="s">
        <v>325</v>
      </c>
      <c r="F98" s="78" t="s">
        <v>326</v>
      </c>
      <c r="G98" s="79">
        <v>262369</v>
      </c>
    </row>
    <row r="99" spans="2:7">
      <c r="C99" s="116"/>
      <c r="D99" s="116"/>
      <c r="E99" s="225" t="s">
        <v>327</v>
      </c>
      <c r="F99" s="78" t="s">
        <v>328</v>
      </c>
      <c r="G99" s="79">
        <v>623674</v>
      </c>
    </row>
    <row r="100" spans="2:7">
      <c r="C100" s="116"/>
      <c r="D100" s="116"/>
      <c r="E100" s="225" t="s">
        <v>329</v>
      </c>
      <c r="F100" s="78" t="s">
        <v>330</v>
      </c>
      <c r="G100" s="84">
        <v>352363</v>
      </c>
    </row>
    <row r="101" spans="2:7" ht="12.75" customHeight="1" thickBot="1">
      <c r="C101" s="116"/>
      <c r="D101" s="116"/>
      <c r="E101" s="138"/>
      <c r="F101" s="85" t="s">
        <v>331</v>
      </c>
      <c r="G101" s="86">
        <f>SUM(G96:G100)</f>
        <v>9815198</v>
      </c>
    </row>
    <row r="102" spans="2:7" ht="12.75" customHeight="1" thickBot="1">
      <c r="C102" s="116"/>
      <c r="D102" s="116"/>
      <c r="E102" s="225"/>
      <c r="F102" s="110" t="s">
        <v>332</v>
      </c>
      <c r="G102" s="111">
        <f>[23]Amortizaciones!D19</f>
        <v>23225621</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1284620007.8800001</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69418173.379999876</v>
      </c>
    </row>
    <row r="110" spans="2:7" ht="6.75" customHeight="1" thickBot="1">
      <c r="B110" s="5"/>
      <c r="C110" s="227"/>
      <c r="D110" s="227"/>
      <c r="E110" s="138"/>
      <c r="F110" s="116"/>
      <c r="G110" s="116"/>
    </row>
    <row r="111" spans="2:7" ht="15" customHeight="1" thickBot="1">
      <c r="C111" s="72" t="s">
        <v>269</v>
      </c>
      <c r="D111" s="118">
        <f>+[23]E.S.P.!D6</f>
        <v>2021</v>
      </c>
      <c r="E111" s="225"/>
      <c r="F111" s="72" t="s">
        <v>340</v>
      </c>
      <c r="G111" s="118">
        <f>+[23]E.S.P.!D6</f>
        <v>2021</v>
      </c>
    </row>
    <row r="112" spans="2:7" ht="13.7" customHeight="1">
      <c r="B112" s="5" t="s">
        <v>341</v>
      </c>
      <c r="C112" s="119" t="s">
        <v>342</v>
      </c>
      <c r="D112" s="120">
        <v>0</v>
      </c>
      <c r="E112" s="138" t="s">
        <v>343</v>
      </c>
      <c r="F112" s="119" t="s">
        <v>308</v>
      </c>
      <c r="G112" s="120">
        <v>170000</v>
      </c>
    </row>
    <row r="113" spans="2:7" ht="13.7" customHeight="1">
      <c r="B113" s="5" t="s">
        <v>344</v>
      </c>
      <c r="C113" s="121" t="s">
        <v>345</v>
      </c>
      <c r="D113" s="122">
        <v>41489909</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0</v>
      </c>
      <c r="E115" s="138" t="s">
        <v>353</v>
      </c>
      <c r="F115" s="121" t="s">
        <v>354</v>
      </c>
      <c r="G115" s="122">
        <v>0</v>
      </c>
    </row>
    <row r="116" spans="2:7" ht="13.7" customHeight="1">
      <c r="B116" s="5" t="s">
        <v>355</v>
      </c>
      <c r="C116" s="121" t="s">
        <v>356</v>
      </c>
      <c r="D116" s="122">
        <v>1786619</v>
      </c>
      <c r="E116" s="138" t="s">
        <v>357</v>
      </c>
      <c r="F116" s="121" t="s">
        <v>358</v>
      </c>
      <c r="G116" s="122">
        <v>0</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51058</v>
      </c>
    </row>
    <row r="119" spans="2:7" ht="13.7" customHeight="1">
      <c r="B119" s="5" t="s">
        <v>367</v>
      </c>
      <c r="C119" s="121" t="s">
        <v>368</v>
      </c>
      <c r="D119" s="122">
        <v>227396</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1542752</v>
      </c>
      <c r="E121" s="138" t="s">
        <v>377</v>
      </c>
      <c r="F121" s="121" t="s">
        <v>378</v>
      </c>
      <c r="G121" s="122">
        <v>7165515</v>
      </c>
    </row>
    <row r="122" spans="2:7" ht="13.7" customHeight="1" thickBot="1">
      <c r="B122" s="5"/>
      <c r="C122" s="85" t="s">
        <v>379</v>
      </c>
      <c r="D122" s="94">
        <f>SUM(D112:D121)</f>
        <v>45046676</v>
      </c>
      <c r="E122" s="138" t="s">
        <v>380</v>
      </c>
      <c r="F122" s="78" t="s">
        <v>381</v>
      </c>
      <c r="G122" s="79">
        <v>528119</v>
      </c>
    </row>
    <row r="123" spans="2:7" ht="13.7" customHeight="1" thickBot="1">
      <c r="B123" s="5" t="s">
        <v>382</v>
      </c>
      <c r="C123" s="123" t="s">
        <v>308</v>
      </c>
      <c r="D123" s="120">
        <v>2811725</v>
      </c>
      <c r="E123" s="225"/>
      <c r="F123" s="85" t="s">
        <v>383</v>
      </c>
      <c r="G123" s="94">
        <f>SUM(G112:G122)</f>
        <v>7914692</v>
      </c>
    </row>
    <row r="124" spans="2:7" ht="13.7" customHeight="1">
      <c r="B124" s="5" t="s">
        <v>384</v>
      </c>
      <c r="C124" s="121" t="s">
        <v>312</v>
      </c>
      <c r="D124" s="122">
        <v>0</v>
      </c>
      <c r="E124" s="138" t="s">
        <v>385</v>
      </c>
      <c r="F124" s="121" t="s">
        <v>386</v>
      </c>
      <c r="G124" s="122">
        <v>348148</v>
      </c>
    </row>
    <row r="125" spans="2:7" ht="13.7" customHeight="1">
      <c r="B125" s="5" t="s">
        <v>387</v>
      </c>
      <c r="C125" s="78" t="s">
        <v>388</v>
      </c>
      <c r="D125" s="122">
        <v>96418</v>
      </c>
      <c r="E125" s="138" t="s">
        <v>389</v>
      </c>
      <c r="F125" s="121" t="s">
        <v>390</v>
      </c>
      <c r="G125" s="122">
        <v>15000</v>
      </c>
    </row>
    <row r="126" spans="2:7" ht="13.7" customHeight="1" thickBot="1">
      <c r="B126" s="5"/>
      <c r="C126" s="85" t="s">
        <v>391</v>
      </c>
      <c r="D126" s="94">
        <f>SUM(D123:D125)</f>
        <v>2908143</v>
      </c>
      <c r="E126" s="138" t="s">
        <v>392</v>
      </c>
      <c r="F126" s="121" t="s">
        <v>393</v>
      </c>
      <c r="G126" s="122">
        <v>0</v>
      </c>
    </row>
    <row r="127" spans="2:7" ht="13.7" customHeight="1">
      <c r="B127" s="5" t="s">
        <v>394</v>
      </c>
      <c r="C127" s="119" t="s">
        <v>273</v>
      </c>
      <c r="D127" s="120">
        <v>3866487</v>
      </c>
      <c r="E127" s="138" t="s">
        <v>395</v>
      </c>
      <c r="F127" s="121" t="s">
        <v>396</v>
      </c>
      <c r="G127" s="122">
        <v>0</v>
      </c>
    </row>
    <row r="128" spans="2:7" ht="13.7" customHeight="1">
      <c r="B128" s="5" t="s">
        <v>397</v>
      </c>
      <c r="C128" s="121" t="s">
        <v>398</v>
      </c>
      <c r="D128" s="122">
        <v>2937866</v>
      </c>
      <c r="E128" s="138" t="s">
        <v>399</v>
      </c>
      <c r="F128" s="121" t="s">
        <v>400</v>
      </c>
      <c r="G128" s="122">
        <v>0</v>
      </c>
    </row>
    <row r="129" spans="2:7" ht="13.7" customHeight="1">
      <c r="B129" s="5" t="s">
        <v>401</v>
      </c>
      <c r="C129" s="121" t="s">
        <v>276</v>
      </c>
      <c r="D129" s="122">
        <v>0</v>
      </c>
      <c r="E129" s="138" t="s">
        <v>402</v>
      </c>
      <c r="F129" s="121" t="s">
        <v>403</v>
      </c>
      <c r="G129" s="122">
        <v>0</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2728748</v>
      </c>
    </row>
    <row r="133" spans="2:7" ht="13.7" customHeight="1">
      <c r="B133" s="5" t="s">
        <v>413</v>
      </c>
      <c r="C133" s="121" t="s">
        <v>294</v>
      </c>
      <c r="D133" s="122">
        <v>0</v>
      </c>
      <c r="E133" s="138" t="s">
        <v>414</v>
      </c>
      <c r="F133" s="121" t="s">
        <v>415</v>
      </c>
      <c r="G133" s="122">
        <v>0</v>
      </c>
    </row>
    <row r="134" spans="2:7" ht="13.7" customHeight="1">
      <c r="B134" s="5" t="s">
        <v>416</v>
      </c>
      <c r="C134" s="121" t="s">
        <v>417</v>
      </c>
      <c r="D134" s="122">
        <v>997799</v>
      </c>
      <c r="E134" s="138" t="s">
        <v>418</v>
      </c>
      <c r="F134" s="121" t="s">
        <v>419</v>
      </c>
      <c r="G134" s="122">
        <v>0</v>
      </c>
    </row>
    <row r="135" spans="2:7" ht="13.7" customHeight="1">
      <c r="B135" s="5" t="s">
        <v>420</v>
      </c>
      <c r="C135" s="121" t="s">
        <v>421</v>
      </c>
      <c r="D135" s="122">
        <v>1657884</v>
      </c>
      <c r="E135" s="138" t="s">
        <v>422</v>
      </c>
      <c r="F135" s="121" t="s">
        <v>423</v>
      </c>
      <c r="G135" s="122">
        <v>0</v>
      </c>
    </row>
    <row r="136" spans="2:7" ht="13.7" customHeight="1">
      <c r="B136" s="5" t="s">
        <v>424</v>
      </c>
      <c r="C136" s="121" t="s">
        <v>317</v>
      </c>
      <c r="D136" s="122">
        <v>7447164</v>
      </c>
      <c r="E136" s="138" t="s">
        <v>425</v>
      </c>
      <c r="F136" s="121" t="s">
        <v>426</v>
      </c>
      <c r="G136" s="122">
        <v>153000</v>
      </c>
    </row>
    <row r="137" spans="2:7" ht="13.7" customHeight="1">
      <c r="B137" s="5" t="s">
        <v>427</v>
      </c>
      <c r="C137" s="78" t="s">
        <v>319</v>
      </c>
      <c r="D137" s="124">
        <v>556318</v>
      </c>
      <c r="E137" s="138" t="s">
        <v>428</v>
      </c>
      <c r="F137" s="121" t="s">
        <v>429</v>
      </c>
      <c r="G137" s="122">
        <v>19184751</v>
      </c>
    </row>
    <row r="138" spans="2:7" ht="13.7" customHeight="1" thickBot="1">
      <c r="B138" s="5"/>
      <c r="C138" s="85" t="s">
        <v>320</v>
      </c>
      <c r="D138" s="94">
        <f>SUM(D127:D137)</f>
        <v>17463518</v>
      </c>
      <c r="E138" s="138" t="s">
        <v>430</v>
      </c>
      <c r="F138" s="78" t="s">
        <v>431</v>
      </c>
      <c r="G138" s="79">
        <v>729977</v>
      </c>
    </row>
    <row r="139" spans="2:7" ht="13.7" customHeight="1" thickBot="1">
      <c r="B139" s="5" t="s">
        <v>432</v>
      </c>
      <c r="C139" s="119" t="s">
        <v>326</v>
      </c>
      <c r="D139" s="120">
        <v>0</v>
      </c>
      <c r="E139" s="228"/>
      <c r="F139" s="85" t="s">
        <v>433</v>
      </c>
      <c r="G139" s="94">
        <f>SUM(G124:G138)</f>
        <v>23159624</v>
      </c>
    </row>
    <row r="140" spans="2:7" ht="13.7" customHeight="1" thickBot="1">
      <c r="B140" s="5" t="s">
        <v>434</v>
      </c>
      <c r="C140" s="121" t="s">
        <v>328</v>
      </c>
      <c r="D140" s="122">
        <v>0</v>
      </c>
      <c r="E140" s="228"/>
      <c r="F140" s="110" t="s">
        <v>435</v>
      </c>
      <c r="G140" s="126">
        <f>G123-G139</f>
        <v>-15244932</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[23]Amortizaciones!D33</f>
        <v>3054388</v>
      </c>
      <c r="E143" s="138"/>
      <c r="F143" s="72" t="s">
        <v>437</v>
      </c>
      <c r="G143" s="118">
        <f>+[23]E.S.P.!D6</f>
        <v>2021</v>
      </c>
    </row>
    <row r="144" spans="2:7" ht="13.7" customHeight="1">
      <c r="B144" s="5" t="s">
        <v>438</v>
      </c>
      <c r="C144" s="119" t="s">
        <v>439</v>
      </c>
      <c r="D144" s="120">
        <v>505435</v>
      </c>
      <c r="E144" s="138" t="s">
        <v>440</v>
      </c>
      <c r="F144" s="119" t="s">
        <v>441</v>
      </c>
      <c r="G144" s="120">
        <v>0</v>
      </c>
    </row>
    <row r="145" spans="2:7" ht="13.7" customHeight="1">
      <c r="B145" s="5" t="s">
        <v>442</v>
      </c>
      <c r="C145" s="121" t="s">
        <v>443</v>
      </c>
      <c r="D145" s="122">
        <v>151600</v>
      </c>
      <c r="E145" s="138" t="s">
        <v>444</v>
      </c>
      <c r="F145" s="121" t="s">
        <v>445</v>
      </c>
      <c r="G145" s="122">
        <v>1919841</v>
      </c>
    </row>
    <row r="146" spans="2:7" ht="13.7" customHeight="1">
      <c r="B146" s="5" t="s">
        <v>446</v>
      </c>
      <c r="C146" s="128" t="s">
        <v>447</v>
      </c>
      <c r="D146" s="122">
        <v>0</v>
      </c>
      <c r="E146" s="138" t="s">
        <v>448</v>
      </c>
      <c r="F146" s="121" t="s">
        <v>449</v>
      </c>
      <c r="G146" s="122">
        <v>1489941</v>
      </c>
    </row>
    <row r="147" spans="2:7" ht="13.7" customHeight="1">
      <c r="B147" s="5" t="s">
        <v>450</v>
      </c>
      <c r="C147" s="78" t="s">
        <v>451</v>
      </c>
      <c r="D147" s="124">
        <v>25936</v>
      </c>
      <c r="E147" s="138" t="s">
        <v>452</v>
      </c>
      <c r="F147" s="121" t="s">
        <v>453</v>
      </c>
      <c r="G147" s="122">
        <v>0</v>
      </c>
    </row>
    <row r="148" spans="2:7" ht="13.7" customHeight="1" thickBot="1">
      <c r="B148" s="5"/>
      <c r="C148" s="85" t="s">
        <v>518</v>
      </c>
      <c r="D148" s="94">
        <f>SUM(D144:D147)</f>
        <v>682971</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409912</v>
      </c>
      <c r="E150" s="138" t="s">
        <v>462</v>
      </c>
      <c r="F150" s="121" t="s">
        <v>463</v>
      </c>
      <c r="G150" s="122">
        <v>0</v>
      </c>
    </row>
    <row r="151" spans="2:7" ht="13.7" customHeight="1">
      <c r="B151" s="5" t="s">
        <v>464</v>
      </c>
      <c r="C151" s="78" t="s">
        <v>465</v>
      </c>
      <c r="D151" s="124">
        <v>12479</v>
      </c>
      <c r="E151" s="138" t="s">
        <v>466</v>
      </c>
      <c r="F151" s="121" t="s">
        <v>467</v>
      </c>
      <c r="G151" s="122">
        <v>3794424</v>
      </c>
    </row>
    <row r="152" spans="2:7" ht="13.7" customHeight="1" thickBot="1">
      <c r="B152" s="5"/>
      <c r="C152" s="85" t="s">
        <v>516</v>
      </c>
      <c r="D152" s="94">
        <f>SUM(D149:D151)</f>
        <v>422391</v>
      </c>
      <c r="E152" s="138" t="s">
        <v>469</v>
      </c>
      <c r="F152" s="121" t="s">
        <v>470</v>
      </c>
      <c r="G152" s="122">
        <v>0</v>
      </c>
    </row>
    <row r="153" spans="2:7" ht="15" customHeight="1" thickBot="1">
      <c r="B153" s="5"/>
      <c r="C153" s="110" t="s">
        <v>471</v>
      </c>
      <c r="D153" s="129">
        <f>D122+D126+D138+D142+D143+D148+D152</f>
        <v>69578087</v>
      </c>
      <c r="E153" s="138" t="s">
        <v>472</v>
      </c>
      <c r="F153" s="78" t="s">
        <v>473</v>
      </c>
      <c r="G153" s="79">
        <v>114989</v>
      </c>
    </row>
    <row r="154" spans="2:7" ht="13.7" customHeight="1" thickBot="1">
      <c r="B154" s="5"/>
      <c r="C154" s="116"/>
      <c r="D154" s="116"/>
      <c r="E154" s="138"/>
      <c r="F154" s="85" t="s">
        <v>474</v>
      </c>
      <c r="G154" s="94">
        <f>SUM(G144:G153)</f>
        <v>7319195</v>
      </c>
    </row>
    <row r="155" spans="2:7" ht="13.5" customHeight="1" thickBot="1">
      <c r="B155" s="5"/>
      <c r="C155" s="72" t="s">
        <v>475</v>
      </c>
      <c r="D155" s="103">
        <f>G109-D153</f>
        <v>-159913.62000012398</v>
      </c>
      <c r="E155" s="138" t="s">
        <v>476</v>
      </c>
      <c r="F155" s="119" t="s">
        <v>477</v>
      </c>
      <c r="G155" s="120">
        <v>6453764</v>
      </c>
    </row>
    <row r="156" spans="2:7" ht="13.7" customHeight="1">
      <c r="C156" s="116"/>
      <c r="D156" s="116"/>
      <c r="E156" s="138" t="s">
        <v>478</v>
      </c>
      <c r="F156" s="121" t="s">
        <v>479</v>
      </c>
      <c r="G156" s="122">
        <v>8115513</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88401</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v>570226</v>
      </c>
    </row>
    <row r="167" spans="3:7" ht="13.7" customHeight="1">
      <c r="C167" s="116"/>
      <c r="D167" s="116"/>
      <c r="E167" s="138" t="s">
        <v>500</v>
      </c>
      <c r="F167" s="78" t="s">
        <v>501</v>
      </c>
      <c r="G167" s="79">
        <v>513455</v>
      </c>
    </row>
    <row r="168" spans="3:7" ht="13.7" customHeight="1" thickBot="1">
      <c r="C168" s="116"/>
      <c r="D168" s="116"/>
      <c r="E168" s="138"/>
      <c r="F168" s="85" t="s">
        <v>502</v>
      </c>
      <c r="G168" s="94">
        <f>SUM(G155:G167)</f>
        <v>15741359</v>
      </c>
    </row>
    <row r="169" spans="3:7" ht="13.7" customHeight="1" thickBot="1">
      <c r="C169" s="116"/>
      <c r="D169" s="116"/>
      <c r="E169" s="138"/>
      <c r="F169" s="110" t="s">
        <v>503</v>
      </c>
      <c r="G169" s="126">
        <f>G154-G168</f>
        <v>-8422164</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-23827009.620000124</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10557751</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10557751</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-13269258.620000124</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54" priority="2" stopIfTrue="1" operator="greaterThan">
      <formula>50</formula>
    </cfRule>
    <cfRule type="cellIs" dxfId="253" priority="11" stopIfTrue="1" operator="equal">
      <formula>0</formula>
    </cfRule>
  </conditionalFormatting>
  <conditionalFormatting sqref="D7:D61">
    <cfRule type="cellIs" dxfId="252" priority="9" stopIfTrue="1" operator="between">
      <formula>-0.1</formula>
      <formula>-50</formula>
    </cfRule>
    <cfRule type="cellIs" dxfId="251" priority="10" stopIfTrue="1" operator="between">
      <formula>0.1</formula>
      <formula>50</formula>
    </cfRule>
  </conditionalFormatting>
  <conditionalFormatting sqref="G152:G181 G7:G150">
    <cfRule type="cellIs" dxfId="250" priority="7" stopIfTrue="1" operator="between">
      <formula>-0.1</formula>
      <formula>-50</formula>
    </cfRule>
    <cfRule type="cellIs" dxfId="249" priority="8" stopIfTrue="1" operator="between">
      <formula>0.1</formula>
      <formula>50</formula>
    </cfRule>
  </conditionalFormatting>
  <conditionalFormatting sqref="D111:D155">
    <cfRule type="cellIs" dxfId="248" priority="5" stopIfTrue="1" operator="between">
      <formula>-0.1</formula>
      <formula>-50</formula>
    </cfRule>
    <cfRule type="cellIs" dxfId="247" priority="6" stopIfTrue="1" operator="between">
      <formula>0.1</formula>
      <formula>50</formula>
    </cfRule>
  </conditionalFormatting>
  <conditionalFormatting sqref="G165">
    <cfRule type="expression" dxfId="246" priority="4" stopIfTrue="1">
      <formula>AND($G$165&gt;0,$G$151&gt;0)</formula>
    </cfRule>
  </conditionalFormatting>
  <conditionalFormatting sqref="G151">
    <cfRule type="expression" dxfId="24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F180" sqref="F180"/>
    </sheetView>
  </sheetViews>
  <sheetFormatPr baseColWidth="10" defaultColWidth="0" defaultRowHeight="15.75" zeroHeight="1"/>
  <cols>
    <col min="1" max="1" width="3" style="1" customWidth="1"/>
    <col min="2" max="2" width="14.28515625" style="6" hidden="1" customWidth="1"/>
    <col min="3" max="3" width="56.85546875" style="19" customWidth="1"/>
    <col min="4" max="4" width="21" style="19" customWidth="1"/>
    <col min="5" max="5" width="3.85546875" style="13" customWidth="1"/>
    <col min="6" max="6" width="57.28515625" style="19" customWidth="1"/>
    <col min="7" max="7" width="21" style="19" customWidth="1"/>
    <col min="8" max="8" width="3.42578125" style="4" customWidth="1"/>
    <col min="9" max="16384" width="0" style="4" hidden="1"/>
  </cols>
  <sheetData>
    <row r="1" spans="1:9">
      <c r="B1" s="2"/>
      <c r="C1" s="255" t="s">
        <v>0</v>
      </c>
      <c r="D1" s="258"/>
      <c r="E1" s="253" t="str">
        <f>[24]Presentacion!C3</f>
        <v>AMDM - IAMPP</v>
      </c>
      <c r="F1" s="253"/>
      <c r="G1" s="136"/>
      <c r="H1" s="3"/>
    </row>
    <row r="2" spans="1:9">
      <c r="B2" s="5"/>
      <c r="C2" s="255" t="s">
        <v>1</v>
      </c>
      <c r="D2" s="258"/>
      <c r="E2" s="253" t="str">
        <f>[24]Presentacion!C4</f>
        <v>Maldonado</v>
      </c>
      <c r="F2" s="253"/>
      <c r="G2" s="136"/>
      <c r="H2" s="3"/>
    </row>
    <row r="3" spans="1:9">
      <c r="B3" s="5"/>
      <c r="C3" s="263" t="s">
        <v>2</v>
      </c>
      <c r="D3" s="263"/>
      <c r="E3" s="254" t="s">
        <v>3</v>
      </c>
      <c r="F3" s="254"/>
      <c r="G3" s="136"/>
      <c r="H3" s="3"/>
    </row>
    <row r="4" spans="1:9" ht="9" customHeight="1" thickBot="1">
      <c r="C4" s="65"/>
      <c r="D4" s="7"/>
      <c r="E4" s="8"/>
      <c r="F4" s="9"/>
      <c r="G4" s="10"/>
    </row>
    <row r="5" spans="1:9" ht="18" customHeight="1" thickBot="1">
      <c r="B5" s="11"/>
      <c r="C5" s="72" t="s">
        <v>4</v>
      </c>
      <c r="D5" s="73" t="s">
        <v>5</v>
      </c>
      <c r="E5" s="137"/>
      <c r="F5" s="72" t="s">
        <v>6</v>
      </c>
      <c r="G5" s="73" t="s">
        <v>5</v>
      </c>
      <c r="I5" s="12"/>
    </row>
    <row r="6" spans="1:9" ht="12.75" customHeight="1" thickBot="1">
      <c r="B6" s="11"/>
      <c r="C6" s="75" t="s">
        <v>7</v>
      </c>
      <c r="D6" s="76">
        <f>+[24]E.S.P.!D6</f>
        <v>2021</v>
      </c>
      <c r="E6" s="138"/>
      <c r="F6" s="75" t="s">
        <v>8</v>
      </c>
      <c r="G6" s="76">
        <f>+D6</f>
        <v>2021</v>
      </c>
      <c r="H6" s="12"/>
    </row>
    <row r="7" spans="1:9">
      <c r="B7" s="5" t="s">
        <v>9</v>
      </c>
      <c r="C7" s="78" t="s">
        <v>10</v>
      </c>
      <c r="D7" s="79">
        <v>99008910</v>
      </c>
      <c r="E7" s="138" t="s">
        <v>11</v>
      </c>
      <c r="F7" s="80" t="s">
        <v>12</v>
      </c>
      <c r="G7" s="81">
        <v>2815125</v>
      </c>
    </row>
    <row r="8" spans="1:9">
      <c r="B8" s="5" t="s">
        <v>13</v>
      </c>
      <c r="C8" s="78" t="s">
        <v>14</v>
      </c>
      <c r="D8" s="79">
        <v>134809647</v>
      </c>
      <c r="E8" s="138" t="s">
        <v>15</v>
      </c>
      <c r="F8" s="78" t="s">
        <v>16</v>
      </c>
      <c r="G8" s="82">
        <v>247986387</v>
      </c>
    </row>
    <row r="9" spans="1:9">
      <c r="B9" s="5" t="s">
        <v>17</v>
      </c>
      <c r="C9" s="78" t="s">
        <v>18</v>
      </c>
      <c r="D9" s="79">
        <v>2422261199</v>
      </c>
      <c r="E9" s="138" t="s">
        <v>19</v>
      </c>
      <c r="F9" s="78" t="s">
        <v>20</v>
      </c>
      <c r="G9" s="79">
        <v>68328268</v>
      </c>
    </row>
    <row r="10" spans="1:9">
      <c r="B10" s="5" t="s">
        <v>21</v>
      </c>
      <c r="C10" s="78" t="s">
        <v>22</v>
      </c>
      <c r="D10" s="79">
        <v>249547102</v>
      </c>
      <c r="E10" s="138" t="s">
        <v>23</v>
      </c>
      <c r="F10" s="78" t="s">
        <v>24</v>
      </c>
      <c r="G10" s="79">
        <f>567560760+31084783</f>
        <v>598645543</v>
      </c>
    </row>
    <row r="11" spans="1:9">
      <c r="B11" s="5" t="s">
        <v>25</v>
      </c>
      <c r="C11" s="78" t="s">
        <v>26</v>
      </c>
      <c r="D11" s="79">
        <v>48949242</v>
      </c>
      <c r="E11" s="138" t="s">
        <v>27</v>
      </c>
      <c r="F11" s="78" t="s">
        <v>28</v>
      </c>
      <c r="G11" s="79">
        <v>75592715</v>
      </c>
    </row>
    <row r="12" spans="1:9">
      <c r="B12" s="5" t="s">
        <v>29</v>
      </c>
      <c r="C12" s="78" t="s">
        <v>30</v>
      </c>
      <c r="D12" s="79">
        <v>78675131</v>
      </c>
      <c r="E12" s="138" t="s">
        <v>31</v>
      </c>
      <c r="F12" s="78" t="s">
        <v>32</v>
      </c>
      <c r="G12" s="79">
        <v>139578658</v>
      </c>
    </row>
    <row r="13" spans="1:9">
      <c r="B13" s="5" t="s">
        <v>33</v>
      </c>
      <c r="C13" s="78" t="s">
        <v>34</v>
      </c>
      <c r="D13" s="79">
        <v>3166596</v>
      </c>
      <c r="E13" s="138" t="s">
        <v>35</v>
      </c>
      <c r="F13" s="78" t="s">
        <v>36</v>
      </c>
      <c r="G13" s="79">
        <v>67056043</v>
      </c>
    </row>
    <row r="14" spans="1:9">
      <c r="A14" s="14"/>
      <c r="B14" s="5" t="s">
        <v>37</v>
      </c>
      <c r="C14" s="78" t="s">
        <v>38</v>
      </c>
      <c r="D14" s="79">
        <f>9986164+60354841+2276067+12927763</f>
        <v>85544835</v>
      </c>
      <c r="E14" s="138" t="s">
        <v>39</v>
      </c>
      <c r="F14" s="78" t="s">
        <v>40</v>
      </c>
      <c r="G14" s="79">
        <f>556924361+25619363</f>
        <v>582543724</v>
      </c>
    </row>
    <row r="15" spans="1:9">
      <c r="B15" s="5" t="s">
        <v>41</v>
      </c>
      <c r="C15" s="83" t="s">
        <v>42</v>
      </c>
      <c r="D15" s="79">
        <v>0</v>
      </c>
      <c r="E15" s="138" t="s">
        <v>43</v>
      </c>
      <c r="F15" s="78" t="s">
        <v>44</v>
      </c>
      <c r="G15" s="79">
        <f>240279029+23731700</f>
        <v>264010729</v>
      </c>
    </row>
    <row r="16" spans="1:9">
      <c r="B16" s="5" t="s">
        <v>45</v>
      </c>
      <c r="C16" s="78" t="s">
        <v>46</v>
      </c>
      <c r="D16" s="79">
        <v>0</v>
      </c>
      <c r="E16" s="138" t="s">
        <v>47</v>
      </c>
      <c r="F16" s="78" t="s">
        <v>48</v>
      </c>
      <c r="G16" s="79">
        <f>41135148+43762756</f>
        <v>84897904</v>
      </c>
    </row>
    <row r="17" spans="1:7">
      <c r="B17" s="5" t="s">
        <v>49</v>
      </c>
      <c r="C17" s="78" t="s">
        <v>50</v>
      </c>
      <c r="D17" s="79">
        <v>0</v>
      </c>
      <c r="E17" s="138" t="s">
        <v>51</v>
      </c>
      <c r="F17" s="78" t="s">
        <v>52</v>
      </c>
      <c r="G17" s="79">
        <v>0</v>
      </c>
    </row>
    <row r="18" spans="1:7">
      <c r="A18" s="14"/>
      <c r="B18" s="5" t="s">
        <v>53</v>
      </c>
      <c r="C18" s="78" t="s">
        <v>54</v>
      </c>
      <c r="D18" s="79">
        <f>21268166+163345910</f>
        <v>184614076</v>
      </c>
      <c r="E18" s="138" t="s">
        <v>55</v>
      </c>
      <c r="F18" s="78" t="s">
        <v>56</v>
      </c>
      <c r="G18" s="84">
        <v>73700192</v>
      </c>
    </row>
    <row r="19" spans="1:7" ht="16.5" thickBot="1">
      <c r="A19" s="14"/>
      <c r="B19" s="5" t="s">
        <v>57</v>
      </c>
      <c r="C19" s="78" t="s">
        <v>58</v>
      </c>
      <c r="D19" s="79">
        <f>108386244+5451532-2</f>
        <v>113837774</v>
      </c>
      <c r="E19" s="138"/>
      <c r="F19" s="85" t="s">
        <v>59</v>
      </c>
      <c r="G19" s="86">
        <f>SUM(G7:G18)</f>
        <v>2205155288</v>
      </c>
    </row>
    <row r="20" spans="1:7" ht="16.5" thickBot="1">
      <c r="B20" s="5"/>
      <c r="C20" s="85" t="s">
        <v>60</v>
      </c>
      <c r="D20" s="86">
        <f>SUM(D7:D19)</f>
        <v>3420414512</v>
      </c>
      <c r="E20" s="138" t="s">
        <v>61</v>
      </c>
      <c r="F20" s="80" t="s">
        <v>62</v>
      </c>
      <c r="G20" s="81">
        <v>179811</v>
      </c>
    </row>
    <row r="21" spans="1:7">
      <c r="B21" s="5"/>
      <c r="C21" s="87" t="s">
        <v>63</v>
      </c>
      <c r="D21" s="88">
        <f>SUM(D22:D28)</f>
        <v>43808635</v>
      </c>
      <c r="E21" s="138" t="s">
        <v>64</v>
      </c>
      <c r="F21" s="78" t="s">
        <v>65</v>
      </c>
      <c r="G21" s="79">
        <f>60680248+5693980</f>
        <v>66374228</v>
      </c>
    </row>
    <row r="22" spans="1:7">
      <c r="B22" s="5" t="s">
        <v>66</v>
      </c>
      <c r="C22" s="78" t="s">
        <v>67</v>
      </c>
      <c r="D22" s="79">
        <v>22416895</v>
      </c>
      <c r="E22" s="138" t="s">
        <v>68</v>
      </c>
      <c r="F22" s="78" t="s">
        <v>69</v>
      </c>
      <c r="G22" s="79">
        <v>8528966</v>
      </c>
    </row>
    <row r="23" spans="1:7">
      <c r="B23" s="5" t="s">
        <v>70</v>
      </c>
      <c r="C23" s="78" t="s">
        <v>71</v>
      </c>
      <c r="D23" s="79">
        <v>783084</v>
      </c>
      <c r="E23" s="138" t="s">
        <v>72</v>
      </c>
      <c r="F23" s="78" t="s">
        <v>73</v>
      </c>
      <c r="G23" s="79">
        <v>34314668</v>
      </c>
    </row>
    <row r="24" spans="1:7">
      <c r="B24" s="5" t="s">
        <v>74</v>
      </c>
      <c r="C24" s="78" t="s">
        <v>75</v>
      </c>
      <c r="D24" s="79">
        <v>11927536</v>
      </c>
      <c r="E24" s="138" t="s">
        <v>76</v>
      </c>
      <c r="F24" s="78" t="s">
        <v>77</v>
      </c>
      <c r="G24" s="79">
        <v>0</v>
      </c>
    </row>
    <row r="25" spans="1:7">
      <c r="B25" s="5" t="s">
        <v>78</v>
      </c>
      <c r="C25" s="78" t="s">
        <v>79</v>
      </c>
      <c r="D25" s="79">
        <v>6586963</v>
      </c>
      <c r="E25" s="138" t="s">
        <v>80</v>
      </c>
      <c r="F25" s="78" t="s">
        <v>81</v>
      </c>
      <c r="G25" s="79">
        <v>11175683</v>
      </c>
    </row>
    <row r="26" spans="1:7">
      <c r="B26" s="5" t="s">
        <v>82</v>
      </c>
      <c r="C26" s="78" t="s">
        <v>83</v>
      </c>
      <c r="D26" s="79">
        <v>691183</v>
      </c>
      <c r="E26" s="138" t="s">
        <v>84</v>
      </c>
      <c r="F26" s="78" t="s">
        <v>85</v>
      </c>
      <c r="G26" s="84">
        <v>4211291</v>
      </c>
    </row>
    <row r="27" spans="1:7" ht="13.5" customHeight="1" thickBot="1">
      <c r="B27" s="5" t="s">
        <v>86</v>
      </c>
      <c r="C27" s="78" t="s">
        <v>87</v>
      </c>
      <c r="D27" s="79">
        <v>2041</v>
      </c>
      <c r="E27" s="138"/>
      <c r="F27" s="85" t="s">
        <v>88</v>
      </c>
      <c r="G27" s="86">
        <f>SUM(G20:G26)</f>
        <v>124784647</v>
      </c>
    </row>
    <row r="28" spans="1:7">
      <c r="B28" s="5" t="s">
        <v>89</v>
      </c>
      <c r="C28" s="78" t="s">
        <v>90</v>
      </c>
      <c r="D28" s="79">
        <v>1400933</v>
      </c>
      <c r="E28" s="138" t="s">
        <v>91</v>
      </c>
      <c r="F28" s="80" t="s">
        <v>92</v>
      </c>
      <c r="G28" s="81">
        <v>0</v>
      </c>
    </row>
    <row r="29" spans="1:7">
      <c r="B29" s="5"/>
      <c r="C29" s="89" t="s">
        <v>93</v>
      </c>
      <c r="D29" s="88">
        <f>SUM(D30:D34)</f>
        <v>233491268</v>
      </c>
      <c r="E29" s="138" t="s">
        <v>94</v>
      </c>
      <c r="F29" s="78" t="s">
        <v>95</v>
      </c>
      <c r="G29" s="79">
        <v>0</v>
      </c>
    </row>
    <row r="30" spans="1:7">
      <c r="B30" s="5" t="s">
        <v>96</v>
      </c>
      <c r="C30" s="78" t="s">
        <v>97</v>
      </c>
      <c r="D30" s="79">
        <v>185936222</v>
      </c>
      <c r="E30" s="138" t="s">
        <v>98</v>
      </c>
      <c r="F30" s="78" t="s">
        <v>99</v>
      </c>
      <c r="G30" s="79">
        <v>361164623</v>
      </c>
    </row>
    <row r="31" spans="1:7">
      <c r="B31" s="5" t="s">
        <v>100</v>
      </c>
      <c r="C31" s="78" t="s">
        <v>101</v>
      </c>
      <c r="D31" s="79">
        <v>13284506</v>
      </c>
      <c r="E31" s="138" t="s">
        <v>102</v>
      </c>
      <c r="F31" s="78" t="s">
        <v>103</v>
      </c>
      <c r="G31" s="84">
        <v>12128206</v>
      </c>
    </row>
    <row r="32" spans="1:7" ht="16.5" thickBot="1">
      <c r="B32" s="5" t="s">
        <v>104</v>
      </c>
      <c r="C32" s="78" t="s">
        <v>105</v>
      </c>
      <c r="D32" s="79">
        <v>19929951</v>
      </c>
      <c r="E32" s="138"/>
      <c r="F32" s="85" t="s">
        <v>106</v>
      </c>
      <c r="G32" s="86">
        <f>SUM(G28:G31)</f>
        <v>373292829</v>
      </c>
    </row>
    <row r="33" spans="2:7">
      <c r="B33" s="5" t="s">
        <v>107</v>
      </c>
      <c r="C33" s="78" t="s">
        <v>108</v>
      </c>
      <c r="D33" s="79">
        <v>6468664</v>
      </c>
      <c r="E33" s="138"/>
      <c r="F33" s="89" t="s">
        <v>109</v>
      </c>
      <c r="G33" s="88">
        <f>SUM(G34:G39)</f>
        <v>275135330</v>
      </c>
    </row>
    <row r="34" spans="2:7">
      <c r="B34" s="5" t="s">
        <v>110</v>
      </c>
      <c r="C34" s="78" t="s">
        <v>111</v>
      </c>
      <c r="D34" s="79">
        <v>7871925</v>
      </c>
      <c r="E34" s="138" t="s">
        <v>112</v>
      </c>
      <c r="F34" s="78" t="s">
        <v>113</v>
      </c>
      <c r="G34" s="79">
        <v>2139972</v>
      </c>
    </row>
    <row r="35" spans="2:7" ht="16.5" thickBot="1">
      <c r="B35" s="5"/>
      <c r="C35" s="85" t="s">
        <v>114</v>
      </c>
      <c r="D35" s="86">
        <f>+D21+D29</f>
        <v>277299903</v>
      </c>
      <c r="E35" s="138" t="s">
        <v>115</v>
      </c>
      <c r="F35" s="78" t="s">
        <v>116</v>
      </c>
      <c r="G35" s="79">
        <v>14361398</v>
      </c>
    </row>
    <row r="36" spans="2:7">
      <c r="B36" s="5" t="s">
        <v>117</v>
      </c>
      <c r="C36" s="78" t="s">
        <v>118</v>
      </c>
      <c r="D36" s="79">
        <v>41167123</v>
      </c>
      <c r="E36" s="138" t="s">
        <v>119</v>
      </c>
      <c r="F36" s="78" t="s">
        <v>517</v>
      </c>
      <c r="G36" s="79">
        <v>6308665</v>
      </c>
    </row>
    <row r="37" spans="2:7">
      <c r="B37" s="5" t="s">
        <v>120</v>
      </c>
      <c r="C37" s="78" t="s">
        <v>121</v>
      </c>
      <c r="D37" s="79">
        <v>13631541</v>
      </c>
      <c r="E37" s="138" t="s">
        <v>122</v>
      </c>
      <c r="F37" s="78" t="s">
        <v>123</v>
      </c>
      <c r="G37" s="79">
        <v>15635531</v>
      </c>
    </row>
    <row r="38" spans="2:7">
      <c r="B38" s="5" t="s">
        <v>124</v>
      </c>
      <c r="C38" s="78" t="s">
        <v>125</v>
      </c>
      <c r="D38" s="79">
        <v>13143432</v>
      </c>
      <c r="E38" s="138" t="s">
        <v>126</v>
      </c>
      <c r="F38" s="78" t="s">
        <v>127</v>
      </c>
      <c r="G38" s="79">
        <v>33172015</v>
      </c>
    </row>
    <row r="39" spans="2:7">
      <c r="B39" s="5" t="s">
        <v>128</v>
      </c>
      <c r="C39" s="78" t="s">
        <v>129</v>
      </c>
      <c r="D39" s="79">
        <v>25494609</v>
      </c>
      <c r="E39" s="138" t="s">
        <v>130</v>
      </c>
      <c r="F39" s="78" t="s">
        <v>131</v>
      </c>
      <c r="G39" s="79">
        <f>20434239+15732707+167350801+2</f>
        <v>203517749</v>
      </c>
    </row>
    <row r="40" spans="2:7">
      <c r="B40" s="5" t="s">
        <v>132</v>
      </c>
      <c r="C40" s="78" t="s">
        <v>133</v>
      </c>
      <c r="D40" s="79">
        <v>6043068</v>
      </c>
      <c r="E40" s="138"/>
      <c r="F40" s="90" t="s">
        <v>134</v>
      </c>
      <c r="G40" s="91">
        <f>SUM(G41:G46)</f>
        <v>25625305</v>
      </c>
    </row>
    <row r="41" spans="2:7">
      <c r="B41" s="5" t="s">
        <v>135</v>
      </c>
      <c r="C41" s="78" t="s">
        <v>136</v>
      </c>
      <c r="D41" s="79">
        <f>94177366+2433554</f>
        <v>96610920</v>
      </c>
      <c r="E41" s="138" t="s">
        <v>137</v>
      </c>
      <c r="F41" s="78" t="s">
        <v>138</v>
      </c>
      <c r="G41" s="79">
        <v>183940</v>
      </c>
    </row>
    <row r="42" spans="2:7">
      <c r="B42" s="5" t="s">
        <v>139</v>
      </c>
      <c r="C42" s="78" t="s">
        <v>140</v>
      </c>
      <c r="D42" s="79">
        <f>3145545+2044579+113834687+3487625+831517+16309305</f>
        <v>139653258</v>
      </c>
      <c r="E42" s="138" t="s">
        <v>141</v>
      </c>
      <c r="F42" s="78" t="s">
        <v>142</v>
      </c>
      <c r="G42" s="79">
        <v>152654</v>
      </c>
    </row>
    <row r="43" spans="2:7">
      <c r="B43" s="5" t="s">
        <v>143</v>
      </c>
      <c r="C43" s="78" t="s">
        <v>144</v>
      </c>
      <c r="D43" s="79">
        <v>0</v>
      </c>
      <c r="E43" s="138" t="s">
        <v>145</v>
      </c>
      <c r="F43" s="78" t="s">
        <v>146</v>
      </c>
      <c r="G43" s="79">
        <v>4365521</v>
      </c>
    </row>
    <row r="44" spans="2:7">
      <c r="B44" s="5" t="s">
        <v>147</v>
      </c>
      <c r="C44" s="78" t="s">
        <v>148</v>
      </c>
      <c r="D44" s="79">
        <v>385281</v>
      </c>
      <c r="E44" s="138" t="s">
        <v>149</v>
      </c>
      <c r="F44" s="78" t="s">
        <v>150</v>
      </c>
      <c r="G44" s="79">
        <v>4060694</v>
      </c>
    </row>
    <row r="45" spans="2:7">
      <c r="B45" s="5" t="s">
        <v>151</v>
      </c>
      <c r="C45" s="78" t="s">
        <v>152</v>
      </c>
      <c r="D45" s="79">
        <f>1252436+1536915+6651671+53373251+102139-2+2557750</f>
        <v>65474160</v>
      </c>
      <c r="E45" s="138" t="s">
        <v>153</v>
      </c>
      <c r="F45" s="78" t="s">
        <v>154</v>
      </c>
      <c r="G45" s="79">
        <v>1324584</v>
      </c>
    </row>
    <row r="46" spans="2:7">
      <c r="B46" s="5" t="s">
        <v>155</v>
      </c>
      <c r="C46" s="78" t="s">
        <v>156</v>
      </c>
      <c r="D46" s="79">
        <v>13076771</v>
      </c>
      <c r="E46" s="138" t="s">
        <v>157</v>
      </c>
      <c r="F46" s="78" t="s">
        <v>158</v>
      </c>
      <c r="G46" s="79">
        <v>15537912</v>
      </c>
    </row>
    <row r="47" spans="2:7" ht="16.5" thickBot="1">
      <c r="B47" s="5"/>
      <c r="C47" s="85" t="s">
        <v>159</v>
      </c>
      <c r="D47" s="86">
        <f>SUM(D36:D46)</f>
        <v>414680163</v>
      </c>
      <c r="E47" s="138" t="s">
        <v>160</v>
      </c>
      <c r="F47" s="78" t="s">
        <v>161</v>
      </c>
      <c r="G47" s="84">
        <f>9037279+830220+1</f>
        <v>9867500</v>
      </c>
    </row>
    <row r="48" spans="2:7" ht="16.5" thickBot="1">
      <c r="B48" s="5"/>
      <c r="C48" s="92" t="s">
        <v>162</v>
      </c>
      <c r="D48" s="93"/>
      <c r="E48" s="138"/>
      <c r="F48" s="85" t="s">
        <v>163</v>
      </c>
      <c r="G48" s="94">
        <f>+G33+G40+G47</f>
        <v>310628135</v>
      </c>
    </row>
    <row r="49" spans="2:7">
      <c r="B49" s="5" t="s">
        <v>164</v>
      </c>
      <c r="C49" s="95" t="s">
        <v>165</v>
      </c>
      <c r="D49" s="96">
        <v>0</v>
      </c>
      <c r="E49" s="138" t="s">
        <v>166</v>
      </c>
      <c r="F49" s="80" t="s">
        <v>167</v>
      </c>
      <c r="G49" s="81">
        <v>0</v>
      </c>
    </row>
    <row r="50" spans="2:7">
      <c r="B50" s="5" t="s">
        <v>168</v>
      </c>
      <c r="C50" s="78" t="s">
        <v>162</v>
      </c>
      <c r="D50" s="79">
        <v>15565264</v>
      </c>
      <c r="E50" s="138" t="s">
        <v>169</v>
      </c>
      <c r="F50" s="78" t="s">
        <v>170</v>
      </c>
      <c r="G50" s="79">
        <f>136323805+47488869+17773151</f>
        <v>201585825</v>
      </c>
    </row>
    <row r="51" spans="2:7">
      <c r="B51" s="5" t="s">
        <v>171</v>
      </c>
      <c r="C51" s="78" t="s">
        <v>172</v>
      </c>
      <c r="D51" s="84">
        <v>92679</v>
      </c>
      <c r="E51" s="138" t="s">
        <v>173</v>
      </c>
      <c r="F51" s="78" t="s">
        <v>174</v>
      </c>
      <c r="G51" s="79">
        <v>0</v>
      </c>
    </row>
    <row r="52" spans="2:7" ht="16.5" thickBot="1">
      <c r="B52" s="11"/>
      <c r="C52" s="85" t="s">
        <v>175</v>
      </c>
      <c r="D52" s="86">
        <f>SUM(D49:D51)</f>
        <v>15657943</v>
      </c>
      <c r="E52" s="138" t="s">
        <v>176</v>
      </c>
      <c r="F52" s="78" t="s">
        <v>177</v>
      </c>
      <c r="G52" s="79">
        <v>0</v>
      </c>
    </row>
    <row r="53" spans="2:7" ht="16.5" thickBot="1">
      <c r="B53" s="5"/>
      <c r="C53" s="75" t="s">
        <v>178</v>
      </c>
      <c r="D53" s="97">
        <f>D20+D35+D47+D52</f>
        <v>4128052521</v>
      </c>
      <c r="E53" s="138" t="s">
        <v>179</v>
      </c>
      <c r="F53" s="78" t="s">
        <v>180</v>
      </c>
      <c r="G53" s="79">
        <f>45802283+2057234</f>
        <v>47859517</v>
      </c>
    </row>
    <row r="54" spans="2:7">
      <c r="C54" s="98"/>
      <c r="D54" s="99"/>
      <c r="E54" s="138" t="s">
        <v>181</v>
      </c>
      <c r="F54" s="78" t="s">
        <v>182</v>
      </c>
      <c r="G54" s="79">
        <f>4686327+93367</f>
        <v>4779694</v>
      </c>
    </row>
    <row r="55" spans="2:7">
      <c r="C55" s="100" t="s">
        <v>183</v>
      </c>
      <c r="D55" s="101"/>
      <c r="E55" s="138" t="s">
        <v>184</v>
      </c>
      <c r="F55" s="78" t="s">
        <v>185</v>
      </c>
      <c r="G55" s="79">
        <f>1094504+15760238-3383899-7529320</f>
        <v>5941523</v>
      </c>
    </row>
    <row r="56" spans="2:7">
      <c r="B56" s="5" t="s">
        <v>186</v>
      </c>
      <c r="C56" s="102" t="s">
        <v>187</v>
      </c>
      <c r="D56" s="79">
        <v>-28283166</v>
      </c>
      <c r="E56" s="138" t="s">
        <v>188</v>
      </c>
      <c r="F56" s="78" t="s">
        <v>189</v>
      </c>
      <c r="G56" s="84">
        <f>-222809+9007235</f>
        <v>8784426</v>
      </c>
    </row>
    <row r="57" spans="2:7" ht="14.25" customHeight="1" thickBot="1">
      <c r="B57" s="5" t="s">
        <v>190</v>
      </c>
      <c r="C57" s="102" t="s">
        <v>191</v>
      </c>
      <c r="D57" s="79"/>
      <c r="E57" s="138"/>
      <c r="F57" s="85" t="s">
        <v>192</v>
      </c>
      <c r="G57" s="86">
        <f>SUM(G49:G56)</f>
        <v>268950985</v>
      </c>
    </row>
    <row r="58" spans="2:7">
      <c r="B58" s="5" t="s">
        <v>193</v>
      </c>
      <c r="C58" s="102" t="s">
        <v>194</v>
      </c>
      <c r="D58" s="79"/>
      <c r="E58" s="138" t="s">
        <v>195</v>
      </c>
      <c r="F58" s="80" t="s">
        <v>196</v>
      </c>
      <c r="G58" s="81">
        <v>0</v>
      </c>
    </row>
    <row r="59" spans="2:7">
      <c r="B59" s="5" t="s">
        <v>197</v>
      </c>
      <c r="C59" s="78" t="s">
        <v>198</v>
      </c>
      <c r="D59" s="84">
        <v>-935648</v>
      </c>
      <c r="E59" s="138" t="s">
        <v>199</v>
      </c>
      <c r="F59" s="78" t="s">
        <v>200</v>
      </c>
      <c r="G59" s="79">
        <v>13300887</v>
      </c>
    </row>
    <row r="60" spans="2:7" ht="16.5" thickBot="1">
      <c r="B60" s="5"/>
      <c r="C60" s="85" t="s">
        <v>201</v>
      </c>
      <c r="D60" s="86">
        <f>SUM(D56:D59)</f>
        <v>-29218814</v>
      </c>
      <c r="E60" s="138" t="s">
        <v>202</v>
      </c>
      <c r="F60" s="78" t="s">
        <v>203</v>
      </c>
      <c r="G60" s="79">
        <v>0</v>
      </c>
    </row>
    <row r="61" spans="2:7" ht="16.5" thickBot="1">
      <c r="B61" s="15"/>
      <c r="C61" s="72" t="s">
        <v>204</v>
      </c>
      <c r="D61" s="103">
        <f>D53+D60</f>
        <v>4098833707</v>
      </c>
      <c r="E61" s="138" t="s">
        <v>205</v>
      </c>
      <c r="F61" s="78" t="s">
        <v>206</v>
      </c>
      <c r="G61" s="79">
        <v>0</v>
      </c>
    </row>
    <row r="62" spans="2:7">
      <c r="B62" s="16"/>
      <c r="C62" s="116"/>
      <c r="D62" s="116"/>
      <c r="E62" s="138" t="s">
        <v>207</v>
      </c>
      <c r="F62" s="78" t="s">
        <v>208</v>
      </c>
      <c r="G62" s="79">
        <v>0</v>
      </c>
    </row>
    <row r="63" spans="2:7">
      <c r="B63" s="17"/>
      <c r="C63" s="222" t="s">
        <v>8</v>
      </c>
      <c r="D63" s="222"/>
      <c r="E63" s="138" t="s">
        <v>209</v>
      </c>
      <c r="F63" s="78" t="s">
        <v>210</v>
      </c>
      <c r="G63" s="79">
        <f>454324+60535856</f>
        <v>60990180</v>
      </c>
    </row>
    <row r="64" spans="2:7">
      <c r="B64" s="18" t="s">
        <v>211</v>
      </c>
      <c r="C64" s="223" t="s">
        <v>212</v>
      </c>
      <c r="D64" s="223">
        <f>[24]Amortizaciones!D6</f>
        <v>58539326</v>
      </c>
      <c r="E64" s="138" t="s">
        <v>213</v>
      </c>
      <c r="F64" s="78" t="s">
        <v>214</v>
      </c>
      <c r="G64" s="79">
        <v>0</v>
      </c>
    </row>
    <row r="65" spans="2:7">
      <c r="B65" s="18" t="s">
        <v>215</v>
      </c>
      <c r="C65" s="223" t="s">
        <v>216</v>
      </c>
      <c r="D65" s="223">
        <f>[24]Amortizaciones!D7</f>
        <v>0</v>
      </c>
      <c r="E65" s="138" t="s">
        <v>217</v>
      </c>
      <c r="F65" s="78" t="s">
        <v>218</v>
      </c>
      <c r="G65" s="79">
        <v>0</v>
      </c>
    </row>
    <row r="66" spans="2:7">
      <c r="B66" s="18" t="s">
        <v>219</v>
      </c>
      <c r="C66" s="223" t="s">
        <v>220</v>
      </c>
      <c r="D66" s="223">
        <f>[24]Amortizaciones!D8</f>
        <v>27199374</v>
      </c>
      <c r="E66" s="138" t="s">
        <v>221</v>
      </c>
      <c r="F66" s="78" t="s">
        <v>222</v>
      </c>
      <c r="G66" s="79">
        <v>367972</v>
      </c>
    </row>
    <row r="67" spans="2:7">
      <c r="B67" s="18" t="s">
        <v>223</v>
      </c>
      <c r="C67" s="223" t="s">
        <v>224</v>
      </c>
      <c r="D67" s="223">
        <f>[24]Amortizaciones!D9</f>
        <v>0</v>
      </c>
      <c r="E67" s="138" t="s">
        <v>225</v>
      </c>
      <c r="F67" s="78" t="s">
        <v>226</v>
      </c>
      <c r="G67" s="79">
        <v>533452</v>
      </c>
    </row>
    <row r="68" spans="2:7">
      <c r="B68" s="18" t="s">
        <v>227</v>
      </c>
      <c r="C68" s="223" t="s">
        <v>228</v>
      </c>
      <c r="D68" s="223">
        <f>[24]Amortizaciones!D10</f>
        <v>988599</v>
      </c>
      <c r="E68" s="138" t="s">
        <v>229</v>
      </c>
      <c r="F68" s="78" t="s">
        <v>230</v>
      </c>
      <c r="G68" s="79">
        <v>0</v>
      </c>
    </row>
    <row r="69" spans="2:7">
      <c r="B69" s="18" t="s">
        <v>231</v>
      </c>
      <c r="C69" s="223" t="s">
        <v>232</v>
      </c>
      <c r="D69" s="223">
        <f>[24]Amortizaciones!D11</f>
        <v>1871849</v>
      </c>
      <c r="E69" s="138" t="s">
        <v>233</v>
      </c>
      <c r="F69" s="78" t="s">
        <v>234</v>
      </c>
      <c r="G69" s="79">
        <v>0</v>
      </c>
    </row>
    <row r="70" spans="2:7">
      <c r="B70" s="18" t="s">
        <v>235</v>
      </c>
      <c r="C70" s="223" t="s">
        <v>236</v>
      </c>
      <c r="D70" s="223">
        <f>[24]Amortizaciones!D12</f>
        <v>1417219</v>
      </c>
      <c r="E70" s="138" t="s">
        <v>237</v>
      </c>
      <c r="F70" s="78" t="s">
        <v>238</v>
      </c>
      <c r="G70" s="79">
        <v>0</v>
      </c>
    </row>
    <row r="71" spans="2:7">
      <c r="B71" s="18" t="s">
        <v>239</v>
      </c>
      <c r="C71" s="223" t="s">
        <v>240</v>
      </c>
      <c r="D71" s="223">
        <f>[24]Amortizaciones!D13</f>
        <v>4735990</v>
      </c>
      <c r="E71" s="138" t="s">
        <v>241</v>
      </c>
      <c r="F71" s="78" t="s">
        <v>242</v>
      </c>
      <c r="G71" s="79">
        <v>7142859</v>
      </c>
    </row>
    <row r="72" spans="2:7">
      <c r="B72" s="18" t="s">
        <v>243</v>
      </c>
      <c r="C72" s="223" t="s">
        <v>244</v>
      </c>
      <c r="D72" s="223">
        <f>[24]Amortizaciones!D14</f>
        <v>1471902</v>
      </c>
      <c r="E72" s="138" t="s">
        <v>245</v>
      </c>
      <c r="F72" s="78" t="s">
        <v>246</v>
      </c>
      <c r="G72" s="79">
        <v>0</v>
      </c>
    </row>
    <row r="73" spans="2:7">
      <c r="B73" s="18" t="s">
        <v>247</v>
      </c>
      <c r="C73" s="223" t="s">
        <v>248</v>
      </c>
      <c r="D73" s="223">
        <f>[24]Amortizaciones!D15</f>
        <v>466349</v>
      </c>
      <c r="E73" s="138" t="s">
        <v>249</v>
      </c>
      <c r="F73" s="78" t="s">
        <v>250</v>
      </c>
      <c r="G73" s="79">
        <v>0</v>
      </c>
    </row>
    <row r="74" spans="2:7">
      <c r="B74" s="18" t="s">
        <v>251</v>
      </c>
      <c r="C74" s="223" t="s">
        <v>252</v>
      </c>
      <c r="D74" s="223">
        <f>[24]Amortizaciones!D16</f>
        <v>781374</v>
      </c>
      <c r="E74" s="138" t="s">
        <v>253</v>
      </c>
      <c r="F74" s="78" t="s">
        <v>254</v>
      </c>
      <c r="G74" s="79">
        <v>7601572</v>
      </c>
    </row>
    <row r="75" spans="2:7">
      <c r="B75" s="18" t="s">
        <v>255</v>
      </c>
      <c r="C75" s="223" t="s">
        <v>256</v>
      </c>
      <c r="D75" s="223">
        <f>[24]Amortizaciones!D17</f>
        <v>0</v>
      </c>
      <c r="E75" s="138" t="s">
        <v>257</v>
      </c>
      <c r="F75" s="78" t="s">
        <v>258</v>
      </c>
      <c r="G75" s="79">
        <v>6824912</v>
      </c>
    </row>
    <row r="76" spans="2:7">
      <c r="B76" s="18" t="s">
        <v>259</v>
      </c>
      <c r="C76" s="223" t="s">
        <v>260</v>
      </c>
      <c r="D76" s="223">
        <f>[24]Amortizaciones!D18</f>
        <v>0</v>
      </c>
      <c r="E76" s="138" t="s">
        <v>261</v>
      </c>
      <c r="F76" s="78" t="s">
        <v>262</v>
      </c>
      <c r="G76" s="79">
        <f>329000+1163450</f>
        <v>1492450</v>
      </c>
    </row>
    <row r="77" spans="2:7">
      <c r="B77" s="18" t="s">
        <v>263</v>
      </c>
      <c r="C77" s="223" t="s">
        <v>264</v>
      </c>
      <c r="D77" s="223">
        <f>SUM(D64:D76)</f>
        <v>97471982</v>
      </c>
      <c r="E77" s="138" t="s">
        <v>265</v>
      </c>
      <c r="F77" s="78" t="s">
        <v>266</v>
      </c>
      <c r="G77" s="79">
        <v>44103769</v>
      </c>
    </row>
    <row r="78" spans="2:7">
      <c r="B78" s="18"/>
      <c r="C78" s="223"/>
      <c r="D78" s="223"/>
      <c r="E78" s="138" t="s">
        <v>267</v>
      </c>
      <c r="F78" s="78" t="s">
        <v>268</v>
      </c>
      <c r="G78" s="84">
        <v>4781595</v>
      </c>
    </row>
    <row r="79" spans="2:7" ht="16.5" thickBot="1">
      <c r="B79" s="18"/>
      <c r="C79" s="222" t="s">
        <v>269</v>
      </c>
      <c r="D79" s="224"/>
      <c r="E79" s="138"/>
      <c r="F79" s="85" t="s">
        <v>270</v>
      </c>
      <c r="G79" s="86">
        <f>SUM(G58:G78)</f>
        <v>147139648</v>
      </c>
    </row>
    <row r="80" spans="2:7">
      <c r="B80" s="18" t="s">
        <v>271</v>
      </c>
      <c r="C80" s="223" t="s">
        <v>236</v>
      </c>
      <c r="D80" s="223">
        <f>[24]Amortizaciones!D22</f>
        <v>353414</v>
      </c>
      <c r="E80" s="138" t="s">
        <v>272</v>
      </c>
      <c r="F80" s="80" t="s">
        <v>273</v>
      </c>
      <c r="G80" s="81">
        <v>3504587</v>
      </c>
    </row>
    <row r="81" spans="2:7">
      <c r="B81" s="18" t="s">
        <v>274</v>
      </c>
      <c r="C81" s="223" t="s">
        <v>240</v>
      </c>
      <c r="D81" s="223">
        <f>[24]Amortizaciones!D23</f>
        <v>0</v>
      </c>
      <c r="E81" s="138" t="s">
        <v>275</v>
      </c>
      <c r="F81" s="78" t="s">
        <v>276</v>
      </c>
      <c r="G81" s="79">
        <v>0</v>
      </c>
    </row>
    <row r="82" spans="2:7">
      <c r="B82" s="18" t="s">
        <v>277</v>
      </c>
      <c r="C82" s="223" t="s">
        <v>244</v>
      </c>
      <c r="D82" s="223">
        <f>[24]Amortizaciones!D24</f>
        <v>367385</v>
      </c>
      <c r="E82" s="138" t="s">
        <v>278</v>
      </c>
      <c r="F82" s="78" t="s">
        <v>279</v>
      </c>
      <c r="G82" s="79">
        <f>2339123+5279269</f>
        <v>7618392</v>
      </c>
    </row>
    <row r="83" spans="2:7">
      <c r="B83" s="18" t="s">
        <v>280</v>
      </c>
      <c r="C83" s="223" t="s">
        <v>248</v>
      </c>
      <c r="D83" s="223">
        <f>[24]Amortizaciones!D25</f>
        <v>0</v>
      </c>
      <c r="E83" s="138" t="s">
        <v>281</v>
      </c>
      <c r="F83" s="78" t="s">
        <v>282</v>
      </c>
      <c r="G83" s="79">
        <v>9440221</v>
      </c>
    </row>
    <row r="84" spans="2:7">
      <c r="B84" s="18" t="s">
        <v>283</v>
      </c>
      <c r="C84" s="223" t="s">
        <v>284</v>
      </c>
      <c r="D84" s="223">
        <v>0</v>
      </c>
      <c r="E84" s="138" t="s">
        <v>285</v>
      </c>
      <c r="F84" s="78" t="s">
        <v>286</v>
      </c>
      <c r="G84" s="79">
        <v>21451664</v>
      </c>
    </row>
    <row r="85" spans="2:7">
      <c r="B85" s="18" t="s">
        <v>287</v>
      </c>
      <c r="C85" s="223" t="s">
        <v>288</v>
      </c>
      <c r="D85" s="223">
        <f>[24]Amortizaciones!D27</f>
        <v>0</v>
      </c>
      <c r="E85" s="138" t="s">
        <v>289</v>
      </c>
      <c r="F85" s="78" t="s">
        <v>290</v>
      </c>
      <c r="G85" s="79">
        <v>8268654</v>
      </c>
    </row>
    <row r="86" spans="2:7" ht="13.5" customHeight="1">
      <c r="B86" s="18" t="s">
        <v>291</v>
      </c>
      <c r="C86" s="223" t="s">
        <v>292</v>
      </c>
      <c r="D86" s="223">
        <f>[24]Amortizaciones!D28</f>
        <v>0</v>
      </c>
      <c r="E86" s="138" t="s">
        <v>293</v>
      </c>
      <c r="F86" s="78" t="s">
        <v>294</v>
      </c>
      <c r="G86" s="79">
        <v>738777</v>
      </c>
    </row>
    <row r="87" spans="2:7" ht="13.5" customHeight="1">
      <c r="B87" s="18" t="s">
        <v>295</v>
      </c>
      <c r="C87" s="223" t="s">
        <v>296</v>
      </c>
      <c r="D87" s="223">
        <f>[24]Amortizaciones!D29</f>
        <v>0</v>
      </c>
      <c r="E87" s="138" t="s">
        <v>297</v>
      </c>
      <c r="F87" s="78" t="s">
        <v>298</v>
      </c>
      <c r="G87" s="79">
        <f>5629114+425925</f>
        <v>6055039</v>
      </c>
    </row>
    <row r="88" spans="2:7" ht="13.5" customHeight="1">
      <c r="B88" s="18" t="s">
        <v>299</v>
      </c>
      <c r="C88" s="223" t="s">
        <v>300</v>
      </c>
      <c r="D88" s="223">
        <f>[24]Amortizaciones!D30</f>
        <v>195341</v>
      </c>
      <c r="E88" s="138" t="s">
        <v>301</v>
      </c>
      <c r="F88" s="78" t="s">
        <v>302</v>
      </c>
      <c r="G88" s="79">
        <v>10174470</v>
      </c>
    </row>
    <row r="89" spans="2:7">
      <c r="B89" s="18" t="s">
        <v>303</v>
      </c>
      <c r="C89" s="223" t="s">
        <v>212</v>
      </c>
      <c r="D89" s="223">
        <f>[24]Amortizaciones!D31</f>
        <v>1449522</v>
      </c>
      <c r="E89" s="138" t="s">
        <v>304</v>
      </c>
      <c r="F89" s="78" t="s">
        <v>305</v>
      </c>
      <c r="G89" s="79">
        <f>109132068+31389564+8692724</f>
        <v>149214356</v>
      </c>
    </row>
    <row r="90" spans="2:7" ht="14.25" customHeight="1">
      <c r="B90" s="18" t="s">
        <v>306</v>
      </c>
      <c r="C90" s="223" t="s">
        <v>228</v>
      </c>
      <c r="D90" s="223">
        <f>[24]Amortizaciones!D32</f>
        <v>0</v>
      </c>
      <c r="E90" s="138" t="s">
        <v>307</v>
      </c>
      <c r="F90" s="78" t="s">
        <v>308</v>
      </c>
      <c r="G90" s="79">
        <f>1459956+1248291</f>
        <v>2708247</v>
      </c>
    </row>
    <row r="91" spans="2:7" ht="14.25" customHeight="1">
      <c r="B91" s="18" t="s">
        <v>309</v>
      </c>
      <c r="C91" s="223" t="s">
        <v>310</v>
      </c>
      <c r="D91" s="223">
        <f>SUM(D80:D90)</f>
        <v>2365662</v>
      </c>
      <c r="E91" s="225" t="s">
        <v>311</v>
      </c>
      <c r="F91" s="78" t="s">
        <v>312</v>
      </c>
      <c r="G91" s="79">
        <v>1560758</v>
      </c>
    </row>
    <row r="92" spans="2:7" ht="14.25" customHeight="1">
      <c r="B92" s="18"/>
      <c r="C92" s="226" t="s">
        <v>313</v>
      </c>
      <c r="D92" s="223">
        <f>D77+D91</f>
        <v>99837644</v>
      </c>
      <c r="E92" s="225" t="s">
        <v>314</v>
      </c>
      <c r="F92" s="78" t="s">
        <v>315</v>
      </c>
      <c r="G92" s="79">
        <v>0</v>
      </c>
    </row>
    <row r="93" spans="2:7">
      <c r="C93" s="116"/>
      <c r="D93" s="116"/>
      <c r="E93" s="225" t="s">
        <v>316</v>
      </c>
      <c r="F93" s="78" t="s">
        <v>317</v>
      </c>
      <c r="G93" s="79">
        <v>3790857</v>
      </c>
    </row>
    <row r="94" spans="2:7">
      <c r="C94" s="116"/>
      <c r="D94" s="116"/>
      <c r="E94" s="225" t="s">
        <v>318</v>
      </c>
      <c r="F94" s="78" t="s">
        <v>319</v>
      </c>
      <c r="G94" s="84">
        <f>7297998+265633-2</f>
        <v>7563629</v>
      </c>
    </row>
    <row r="95" spans="2:7" ht="13.5" customHeight="1" thickBot="1">
      <c r="C95" s="116"/>
      <c r="D95" s="116"/>
      <c r="E95" s="138"/>
      <c r="F95" s="85" t="s">
        <v>320</v>
      </c>
      <c r="G95" s="86">
        <f>SUM(G80:G94)</f>
        <v>232089651</v>
      </c>
    </row>
    <row r="96" spans="2:7">
      <c r="C96" s="116"/>
      <c r="D96" s="116"/>
      <c r="E96" s="225" t="s">
        <v>321</v>
      </c>
      <c r="F96" s="80" t="s">
        <v>322</v>
      </c>
      <c r="G96" s="81">
        <f>20599250+21035</f>
        <v>20620285</v>
      </c>
    </row>
    <row r="97" spans="2:7">
      <c r="C97" s="116"/>
      <c r="D97" s="116"/>
      <c r="E97" s="225" t="s">
        <v>323</v>
      </c>
      <c r="F97" s="78" t="s">
        <v>324</v>
      </c>
      <c r="G97" s="79">
        <v>9348380</v>
      </c>
    </row>
    <row r="98" spans="2:7">
      <c r="C98" s="116"/>
      <c r="D98" s="116"/>
      <c r="E98" s="225" t="s">
        <v>325</v>
      </c>
      <c r="F98" s="78" t="s">
        <v>326</v>
      </c>
      <c r="G98" s="79">
        <v>5777956</v>
      </c>
    </row>
    <row r="99" spans="2:7">
      <c r="C99" s="116"/>
      <c r="D99" s="116"/>
      <c r="E99" s="225" t="s">
        <v>327</v>
      </c>
      <c r="F99" s="78" t="s">
        <v>328</v>
      </c>
      <c r="G99" s="79">
        <f>287788+428114+982861+3508644</f>
        <v>5207407</v>
      </c>
    </row>
    <row r="100" spans="2:7">
      <c r="C100" s="116"/>
      <c r="D100" s="116"/>
      <c r="E100" s="225" t="s">
        <v>329</v>
      </c>
      <c r="F100" s="78" t="s">
        <v>330</v>
      </c>
      <c r="G100" s="84">
        <v>1193365</v>
      </c>
    </row>
    <row r="101" spans="2:7" ht="12.75" customHeight="1" thickBot="1">
      <c r="C101" s="116"/>
      <c r="D101" s="116"/>
      <c r="E101" s="138"/>
      <c r="F101" s="85" t="s">
        <v>331</v>
      </c>
      <c r="G101" s="86">
        <f>SUM(G96:G100)</f>
        <v>42147393</v>
      </c>
    </row>
    <row r="102" spans="2:7" ht="12.75" customHeight="1" thickBot="1">
      <c r="C102" s="116"/>
      <c r="D102" s="116"/>
      <c r="E102" s="225"/>
      <c r="F102" s="110" t="s">
        <v>332</v>
      </c>
      <c r="G102" s="111">
        <f>[24]Amortizaciones!D19</f>
        <v>97471982</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3801660558</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297173149</v>
      </c>
    </row>
    <row r="110" spans="2:7" ht="6.75" customHeight="1" thickBot="1">
      <c r="B110" s="5"/>
      <c r="C110" s="227"/>
      <c r="D110" s="227"/>
      <c r="E110" s="138"/>
      <c r="F110" s="116"/>
      <c r="G110" s="116"/>
    </row>
    <row r="111" spans="2:7" ht="15" customHeight="1" thickBot="1">
      <c r="C111" s="72" t="s">
        <v>269</v>
      </c>
      <c r="D111" s="118">
        <f>+[24]E.S.P.!D6</f>
        <v>2021</v>
      </c>
      <c r="E111" s="225"/>
      <c r="F111" s="72" t="s">
        <v>340</v>
      </c>
      <c r="G111" s="118">
        <f>+[24]E.S.P.!D6</f>
        <v>2021</v>
      </c>
    </row>
    <row r="112" spans="2:7" ht="13.7" customHeight="1">
      <c r="B112" s="5" t="s">
        <v>341</v>
      </c>
      <c r="C112" s="119" t="s">
        <v>342</v>
      </c>
      <c r="D112" s="120">
        <v>14846012</v>
      </c>
      <c r="E112" s="138" t="s">
        <v>343</v>
      </c>
      <c r="F112" s="119" t="s">
        <v>308</v>
      </c>
      <c r="G112" s="120">
        <v>0</v>
      </c>
    </row>
    <row r="113" spans="2:7" ht="13.7" customHeight="1">
      <c r="B113" s="5" t="s">
        <v>344</v>
      </c>
      <c r="C113" s="121" t="s">
        <v>345</v>
      </c>
      <c r="D113" s="122">
        <f>74433234</f>
        <v>74433234</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0</v>
      </c>
      <c r="E115" s="138" t="s">
        <v>353</v>
      </c>
      <c r="F115" s="121" t="s">
        <v>354</v>
      </c>
      <c r="G115" s="122">
        <v>880081</v>
      </c>
    </row>
    <row r="116" spans="2:7" ht="13.7" customHeight="1">
      <c r="B116" s="5" t="s">
        <v>355</v>
      </c>
      <c r="C116" s="121" t="s">
        <v>356</v>
      </c>
      <c r="D116" s="122">
        <v>3690086</v>
      </c>
      <c r="E116" s="138" t="s">
        <v>357</v>
      </c>
      <c r="F116" s="121" t="s">
        <v>358</v>
      </c>
      <c r="G116" s="122">
        <v>1206103</v>
      </c>
    </row>
    <row r="117" spans="2:7" ht="13.7" customHeight="1">
      <c r="B117" s="5" t="s">
        <v>359</v>
      </c>
      <c r="C117" s="121" t="s">
        <v>360</v>
      </c>
      <c r="D117" s="122">
        <v>0</v>
      </c>
      <c r="E117" s="138" t="s">
        <v>361</v>
      </c>
      <c r="F117" s="121" t="s">
        <v>362</v>
      </c>
      <c r="G117" s="122">
        <v>705475</v>
      </c>
    </row>
    <row r="118" spans="2:7" ht="13.7" customHeight="1">
      <c r="B118" s="5" t="s">
        <v>363</v>
      </c>
      <c r="C118" s="121" t="s">
        <v>364</v>
      </c>
      <c r="D118" s="122">
        <v>0</v>
      </c>
      <c r="E118" s="138" t="s">
        <v>365</v>
      </c>
      <c r="F118" s="121" t="s">
        <v>366</v>
      </c>
      <c r="G118" s="122">
        <v>0</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3365613</v>
      </c>
      <c r="E121" s="138" t="s">
        <v>377</v>
      </c>
      <c r="F121" s="121" t="s">
        <v>378</v>
      </c>
      <c r="G121" s="122">
        <f>64842+3214767</f>
        <v>3279609</v>
      </c>
    </row>
    <row r="122" spans="2:7" ht="13.7" customHeight="1" thickBot="1">
      <c r="B122" s="5"/>
      <c r="C122" s="85" t="s">
        <v>379</v>
      </c>
      <c r="D122" s="94">
        <f>SUM(D112:D121)</f>
        <v>96334945</v>
      </c>
      <c r="E122" s="138" t="s">
        <v>380</v>
      </c>
      <c r="F122" s="78" t="s">
        <v>381</v>
      </c>
      <c r="G122" s="79">
        <f>70508+22085+873431</f>
        <v>966024</v>
      </c>
    </row>
    <row r="123" spans="2:7" ht="13.7" customHeight="1" thickBot="1">
      <c r="B123" s="5" t="s">
        <v>382</v>
      </c>
      <c r="C123" s="123" t="s">
        <v>308</v>
      </c>
      <c r="D123" s="120">
        <v>443148</v>
      </c>
      <c r="E123" s="225"/>
      <c r="F123" s="85" t="s">
        <v>383</v>
      </c>
      <c r="G123" s="94">
        <f>SUM(G112:G122)</f>
        <v>7037292</v>
      </c>
    </row>
    <row r="124" spans="2:7" ht="13.7" customHeight="1">
      <c r="B124" s="5" t="s">
        <v>384</v>
      </c>
      <c r="C124" s="121" t="s">
        <v>312</v>
      </c>
      <c r="D124" s="122">
        <v>0</v>
      </c>
      <c r="E124" s="138" t="s">
        <v>385</v>
      </c>
      <c r="F124" s="121" t="s">
        <v>386</v>
      </c>
      <c r="G124" s="122">
        <v>0</v>
      </c>
    </row>
    <row r="125" spans="2:7" ht="13.7" customHeight="1">
      <c r="B125" s="5" t="s">
        <v>387</v>
      </c>
      <c r="C125" s="78" t="s">
        <v>388</v>
      </c>
      <c r="D125" s="122">
        <v>15416</v>
      </c>
      <c r="E125" s="138" t="s">
        <v>389</v>
      </c>
      <c r="F125" s="121" t="s">
        <v>390</v>
      </c>
      <c r="G125" s="122">
        <v>607737</v>
      </c>
    </row>
    <row r="126" spans="2:7" ht="13.7" customHeight="1" thickBot="1">
      <c r="B126" s="5"/>
      <c r="C126" s="85" t="s">
        <v>391</v>
      </c>
      <c r="D126" s="94">
        <f>SUM(D123:D125)</f>
        <v>458564</v>
      </c>
      <c r="E126" s="138" t="s">
        <v>392</v>
      </c>
      <c r="F126" s="121" t="s">
        <v>393</v>
      </c>
      <c r="G126" s="122">
        <v>0</v>
      </c>
    </row>
    <row r="127" spans="2:7" ht="13.7" customHeight="1">
      <c r="B127" s="5" t="s">
        <v>394</v>
      </c>
      <c r="C127" s="119" t="s">
        <v>273</v>
      </c>
      <c r="D127" s="120">
        <v>5365091</v>
      </c>
      <c r="E127" s="138" t="s">
        <v>395</v>
      </c>
      <c r="F127" s="121" t="s">
        <v>396</v>
      </c>
      <c r="G127" s="122">
        <v>0</v>
      </c>
    </row>
    <row r="128" spans="2:7" ht="13.7" customHeight="1">
      <c r="B128" s="5" t="s">
        <v>397</v>
      </c>
      <c r="C128" s="121" t="s">
        <v>398</v>
      </c>
      <c r="D128" s="122">
        <v>7461043</v>
      </c>
      <c r="E128" s="138" t="s">
        <v>399</v>
      </c>
      <c r="F128" s="121" t="s">
        <v>400</v>
      </c>
      <c r="G128" s="122">
        <v>1203857</v>
      </c>
    </row>
    <row r="129" spans="2:7" ht="13.7" customHeight="1">
      <c r="B129" s="5" t="s">
        <v>401</v>
      </c>
      <c r="C129" s="121" t="s">
        <v>276</v>
      </c>
      <c r="D129" s="122">
        <v>209877</v>
      </c>
      <c r="E129" s="138" t="s">
        <v>402</v>
      </c>
      <c r="F129" s="121" t="s">
        <v>403</v>
      </c>
      <c r="G129" s="122">
        <v>6760326</v>
      </c>
    </row>
    <row r="130" spans="2:7" ht="13.7" customHeight="1">
      <c r="B130" s="5" t="s">
        <v>404</v>
      </c>
      <c r="C130" s="121" t="s">
        <v>282</v>
      </c>
      <c r="D130" s="122">
        <v>78669</v>
      </c>
      <c r="E130" s="138" t="s">
        <v>405</v>
      </c>
      <c r="F130" s="121" t="s">
        <v>406</v>
      </c>
      <c r="G130" s="122">
        <v>0</v>
      </c>
    </row>
    <row r="131" spans="2:7" ht="13.7" customHeight="1">
      <c r="B131" s="5" t="s">
        <v>407</v>
      </c>
      <c r="C131" s="121" t="s">
        <v>286</v>
      </c>
      <c r="D131" s="122">
        <v>112357</v>
      </c>
      <c r="E131" s="138" t="s">
        <v>408</v>
      </c>
      <c r="F131" s="121" t="s">
        <v>409</v>
      </c>
      <c r="G131" s="122">
        <v>0</v>
      </c>
    </row>
    <row r="132" spans="2:7" ht="13.7" customHeight="1">
      <c r="B132" s="5" t="s">
        <v>410</v>
      </c>
      <c r="C132" s="121" t="s">
        <v>290</v>
      </c>
      <c r="D132" s="122">
        <v>721831</v>
      </c>
      <c r="E132" s="138" t="s">
        <v>411</v>
      </c>
      <c r="F132" s="121" t="s">
        <v>412</v>
      </c>
      <c r="G132" s="122">
        <v>4612081</v>
      </c>
    </row>
    <row r="133" spans="2:7" ht="13.7" customHeight="1">
      <c r="B133" s="5" t="s">
        <v>413</v>
      </c>
      <c r="C133" s="121" t="s">
        <v>294</v>
      </c>
      <c r="D133" s="122">
        <v>1578857</v>
      </c>
      <c r="E133" s="138" t="s">
        <v>414</v>
      </c>
      <c r="F133" s="121" t="s">
        <v>415</v>
      </c>
      <c r="G133" s="122">
        <v>21532940</v>
      </c>
    </row>
    <row r="134" spans="2:7" ht="13.7" customHeight="1">
      <c r="B134" s="5" t="s">
        <v>416</v>
      </c>
      <c r="C134" s="121" t="s">
        <v>417</v>
      </c>
      <c r="D134" s="122">
        <v>10291355</v>
      </c>
      <c r="E134" s="138" t="s">
        <v>418</v>
      </c>
      <c r="F134" s="121" t="s">
        <v>419</v>
      </c>
      <c r="G134" s="122">
        <v>0</v>
      </c>
    </row>
    <row r="135" spans="2:7" ht="13.7" customHeight="1">
      <c r="B135" s="5" t="s">
        <v>420</v>
      </c>
      <c r="C135" s="121" t="s">
        <v>421</v>
      </c>
      <c r="D135" s="122">
        <v>11334867</v>
      </c>
      <c r="E135" s="138" t="s">
        <v>422</v>
      </c>
      <c r="F135" s="121" t="s">
        <v>423</v>
      </c>
      <c r="G135" s="122">
        <f>2500439-39</f>
        <v>2500400</v>
      </c>
    </row>
    <row r="136" spans="2:7" ht="13.7" customHeight="1">
      <c r="B136" s="5" t="s">
        <v>424</v>
      </c>
      <c r="C136" s="121" t="s">
        <v>317</v>
      </c>
      <c r="D136" s="122">
        <f>206786+1260739+44573+5018970+790374+1402426</f>
        <v>8723868</v>
      </c>
      <c r="E136" s="138" t="s">
        <v>425</v>
      </c>
      <c r="F136" s="121" t="s">
        <v>426</v>
      </c>
      <c r="G136" s="122">
        <v>190075</v>
      </c>
    </row>
    <row r="137" spans="2:7" ht="13.7" customHeight="1">
      <c r="B137" s="5" t="s">
        <v>427</v>
      </c>
      <c r="C137" s="78" t="s">
        <v>319</v>
      </c>
      <c r="D137" s="124">
        <f>1534968+1</f>
        <v>1534969</v>
      </c>
      <c r="E137" s="138" t="s">
        <v>428</v>
      </c>
      <c r="F137" s="121" t="s">
        <v>429</v>
      </c>
      <c r="G137" s="122">
        <v>37532410</v>
      </c>
    </row>
    <row r="138" spans="2:7" ht="13.7" customHeight="1" thickBot="1">
      <c r="B138" s="5"/>
      <c r="C138" s="85" t="s">
        <v>320</v>
      </c>
      <c r="D138" s="94">
        <f>SUM(D127:D137)</f>
        <v>47412784</v>
      </c>
      <c r="E138" s="138" t="s">
        <v>430</v>
      </c>
      <c r="F138" s="78" t="s">
        <v>431</v>
      </c>
      <c r="G138" s="79">
        <f>1152386+775666+2</f>
        <v>1928054</v>
      </c>
    </row>
    <row r="139" spans="2:7" ht="13.7" customHeight="1" thickBot="1">
      <c r="B139" s="5" t="s">
        <v>432</v>
      </c>
      <c r="C139" s="119" t="s">
        <v>326</v>
      </c>
      <c r="D139" s="120">
        <v>0</v>
      </c>
      <c r="E139" s="228"/>
      <c r="F139" s="85" t="s">
        <v>433</v>
      </c>
      <c r="G139" s="94">
        <f>SUM(G124:G138)</f>
        <v>76867880</v>
      </c>
    </row>
    <row r="140" spans="2:7" ht="13.7" customHeight="1" thickBot="1">
      <c r="B140" s="5" t="s">
        <v>434</v>
      </c>
      <c r="C140" s="121" t="s">
        <v>328</v>
      </c>
      <c r="D140" s="122">
        <v>0</v>
      </c>
      <c r="E140" s="228"/>
      <c r="F140" s="110" t="s">
        <v>435</v>
      </c>
      <c r="G140" s="126">
        <f>G123-G139</f>
        <v>-69830588</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332</v>
      </c>
      <c r="D143" s="126">
        <f>[24]Amortizaciones!D33</f>
        <v>2365662</v>
      </c>
      <c r="E143" s="138"/>
      <c r="F143" s="72" t="s">
        <v>437</v>
      </c>
      <c r="G143" s="118">
        <f>+[24]E.S.P.!D6</f>
        <v>2021</v>
      </c>
    </row>
    <row r="144" spans="2:7" ht="13.7" customHeight="1">
      <c r="B144" s="5" t="s">
        <v>438</v>
      </c>
      <c r="C144" s="119" t="s">
        <v>439</v>
      </c>
      <c r="D144" s="120">
        <v>3364858</v>
      </c>
      <c r="E144" s="138" t="s">
        <v>440</v>
      </c>
      <c r="F144" s="119" t="s">
        <v>441</v>
      </c>
      <c r="G144" s="120">
        <v>2792448</v>
      </c>
    </row>
    <row r="145" spans="2:7" ht="13.7" customHeight="1">
      <c r="B145" s="5" t="s">
        <v>442</v>
      </c>
      <c r="C145" s="121" t="s">
        <v>443</v>
      </c>
      <c r="D145" s="122">
        <v>837619</v>
      </c>
      <c r="E145" s="138" t="s">
        <v>444</v>
      </c>
      <c r="F145" s="121" t="s">
        <v>445</v>
      </c>
      <c r="G145" s="122">
        <v>0</v>
      </c>
    </row>
    <row r="146" spans="2:7" ht="13.7" customHeight="1">
      <c r="B146" s="5" t="s">
        <v>446</v>
      </c>
      <c r="C146" s="128" t="s">
        <v>447</v>
      </c>
      <c r="D146" s="122">
        <v>0</v>
      </c>
      <c r="E146" s="138" t="s">
        <v>448</v>
      </c>
      <c r="F146" s="121" t="s">
        <v>449</v>
      </c>
      <c r="G146" s="122">
        <v>3418486</v>
      </c>
    </row>
    <row r="147" spans="2:7" ht="13.7" customHeight="1">
      <c r="B147" s="5" t="s">
        <v>450</v>
      </c>
      <c r="C147" s="78" t="s">
        <v>451</v>
      </c>
      <c r="D147" s="124">
        <v>207614</v>
      </c>
      <c r="E147" s="138" t="s">
        <v>452</v>
      </c>
      <c r="F147" s="121" t="s">
        <v>453</v>
      </c>
      <c r="G147" s="122">
        <v>0</v>
      </c>
    </row>
    <row r="148" spans="2:7" ht="13.7" customHeight="1" thickBot="1">
      <c r="B148" s="5"/>
      <c r="C148" s="85" t="s">
        <v>518</v>
      </c>
      <c r="D148" s="94">
        <f>SUM(D144:D147)</f>
        <v>4410091</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49978518</v>
      </c>
    </row>
    <row r="152" spans="2:7" ht="13.7" customHeight="1" thickBot="1">
      <c r="B152" s="5"/>
      <c r="C152" s="85" t="s">
        <v>516</v>
      </c>
      <c r="D152" s="94">
        <f>SUM(D149:D151)</f>
        <v>0</v>
      </c>
      <c r="E152" s="138" t="s">
        <v>469</v>
      </c>
      <c r="F152" s="121" t="s">
        <v>470</v>
      </c>
      <c r="G152" s="122">
        <v>0</v>
      </c>
    </row>
    <row r="153" spans="2:7" ht="15" customHeight="1" thickBot="1">
      <c r="B153" s="5"/>
      <c r="C153" s="110" t="s">
        <v>471</v>
      </c>
      <c r="D153" s="129">
        <f>D122+D126+D138+D142+D143+D148+D152</f>
        <v>150982046</v>
      </c>
      <c r="E153" s="138" t="s">
        <v>472</v>
      </c>
      <c r="F153" s="78" t="s">
        <v>473</v>
      </c>
      <c r="G153" s="79">
        <v>257395</v>
      </c>
    </row>
    <row r="154" spans="2:7" ht="13.7" customHeight="1" thickBot="1">
      <c r="B154" s="5"/>
      <c r="C154" s="116"/>
      <c r="D154" s="116"/>
      <c r="E154" s="138"/>
      <c r="F154" s="85" t="s">
        <v>474</v>
      </c>
      <c r="G154" s="94">
        <f>SUM(G144:G153)</f>
        <v>56446847</v>
      </c>
    </row>
    <row r="155" spans="2:7" ht="13.5" customHeight="1" thickBot="1">
      <c r="B155" s="5"/>
      <c r="C155" s="72" t="s">
        <v>475</v>
      </c>
      <c r="D155" s="103">
        <f>G109-D153</f>
        <v>146191103</v>
      </c>
      <c r="E155" s="138" t="s">
        <v>476</v>
      </c>
      <c r="F155" s="119" t="s">
        <v>477</v>
      </c>
      <c r="G155" s="120">
        <v>36803480</v>
      </c>
    </row>
    <row r="156" spans="2:7" ht="13.7" customHeight="1">
      <c r="C156" s="116"/>
      <c r="D156" s="116"/>
      <c r="E156" s="138" t="s">
        <v>478</v>
      </c>
      <c r="F156" s="121" t="s">
        <v>479</v>
      </c>
      <c r="G156" s="122">
        <v>4134181</v>
      </c>
    </row>
    <row r="157" spans="2:7" ht="13.7" customHeight="1">
      <c r="C157" s="116"/>
      <c r="D157" s="116"/>
      <c r="E157" s="138" t="s">
        <v>480</v>
      </c>
      <c r="F157" s="121" t="s">
        <v>481</v>
      </c>
      <c r="G157" s="122">
        <v>0</v>
      </c>
    </row>
    <row r="158" spans="2:7" ht="13.7" customHeight="1">
      <c r="C158" s="116"/>
      <c r="D158" s="116"/>
      <c r="E158" s="138" t="s">
        <v>482</v>
      </c>
      <c r="F158" s="121" t="s">
        <v>483</v>
      </c>
      <c r="G158" s="122">
        <v>11824418</v>
      </c>
    </row>
    <row r="159" spans="2:7" ht="13.7" customHeight="1">
      <c r="C159" s="116"/>
      <c r="D159" s="116"/>
      <c r="E159" s="138" t="s">
        <v>484</v>
      </c>
      <c r="F159" s="121" t="s">
        <v>485</v>
      </c>
      <c r="G159" s="122">
        <v>0</v>
      </c>
    </row>
    <row r="160" spans="2:7" ht="13.7" customHeight="1">
      <c r="C160" s="116"/>
      <c r="D160" s="116"/>
      <c r="E160" s="138" t="s">
        <v>486</v>
      </c>
      <c r="F160" s="121" t="s">
        <v>487</v>
      </c>
      <c r="G160" s="122">
        <v>285265</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f>7082914+3503326+18820</f>
        <v>10605060</v>
      </c>
    </row>
    <row r="167" spans="3:7" ht="13.7" customHeight="1">
      <c r="C167" s="116"/>
      <c r="D167" s="116"/>
      <c r="E167" s="138" t="s">
        <v>500</v>
      </c>
      <c r="F167" s="78" t="s">
        <v>501</v>
      </c>
      <c r="G167" s="79">
        <v>2942847</v>
      </c>
    </row>
    <row r="168" spans="3:7" ht="13.7" customHeight="1" thickBot="1">
      <c r="C168" s="116"/>
      <c r="D168" s="116"/>
      <c r="E168" s="138"/>
      <c r="F168" s="85" t="s">
        <v>502</v>
      </c>
      <c r="G168" s="94">
        <f>SUM(G155:G167)</f>
        <v>66595251</v>
      </c>
    </row>
    <row r="169" spans="3:7" ht="13.7" customHeight="1" thickBot="1">
      <c r="C169" s="116"/>
      <c r="D169" s="116"/>
      <c r="E169" s="138"/>
      <c r="F169" s="110" t="s">
        <v>503</v>
      </c>
      <c r="G169" s="126">
        <f>G154-G168</f>
        <v>-10148404</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66212111</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f>+[24]E.C.P!E32</f>
        <v>16773316</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16773316</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82985427</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44" priority="2" stopIfTrue="1" operator="greaterThan">
      <formula>50</formula>
    </cfRule>
    <cfRule type="cellIs" dxfId="243" priority="11" stopIfTrue="1" operator="equal">
      <formula>0</formula>
    </cfRule>
  </conditionalFormatting>
  <conditionalFormatting sqref="D7:D61">
    <cfRule type="cellIs" dxfId="242" priority="9" stopIfTrue="1" operator="between">
      <formula>-0.1</formula>
      <formula>-50</formula>
    </cfRule>
    <cfRule type="cellIs" dxfId="241" priority="10" stopIfTrue="1" operator="between">
      <formula>0.1</formula>
      <formula>50</formula>
    </cfRule>
  </conditionalFormatting>
  <conditionalFormatting sqref="G152:G181 G7:G150">
    <cfRule type="cellIs" dxfId="240" priority="7" stopIfTrue="1" operator="between">
      <formula>-0.1</formula>
      <formula>-50</formula>
    </cfRule>
    <cfRule type="cellIs" dxfId="239" priority="8" stopIfTrue="1" operator="between">
      <formula>0.1</formula>
      <formula>50</formula>
    </cfRule>
  </conditionalFormatting>
  <conditionalFormatting sqref="D111:D155">
    <cfRule type="cellIs" dxfId="238" priority="5" stopIfTrue="1" operator="between">
      <formula>-0.1</formula>
      <formula>-50</formula>
    </cfRule>
    <cfRule type="cellIs" dxfId="237" priority="6" stopIfTrue="1" operator="between">
      <formula>0.1</formula>
      <formula>50</formula>
    </cfRule>
  </conditionalFormatting>
  <conditionalFormatting sqref="G165">
    <cfRule type="expression" dxfId="236" priority="4" stopIfTrue="1">
      <formula>AND($G$165&gt;0,$G$151&gt;0)</formula>
    </cfRule>
  </conditionalFormatting>
  <conditionalFormatting sqref="G151">
    <cfRule type="expression" dxfId="23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66 G135:G138 D136:D137 G121:G122 D113 G82:G99 G76 G63 G50:G56 G47 G39 D41:D45 G21 D14:D19 G10:G16 G175"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E40" sqref="E40"/>
    </sheetView>
  </sheetViews>
  <sheetFormatPr baseColWidth="10" defaultColWidth="0" defaultRowHeight="15.75" zeroHeight="1"/>
  <cols>
    <col min="1" max="1" width="3" style="1" customWidth="1"/>
    <col min="2" max="2" width="14.28515625" style="6" hidden="1" customWidth="1"/>
    <col min="3" max="3" width="56.7109375" style="19" customWidth="1"/>
    <col min="4" max="4" width="21" style="19" customWidth="1"/>
    <col min="5" max="5" width="3.85546875" style="13" customWidth="1"/>
    <col min="6" max="6" width="57.28515625" style="19" customWidth="1"/>
    <col min="7" max="7" width="21" style="19" customWidth="1"/>
    <col min="8" max="8" width="3.5703125" style="4" customWidth="1"/>
    <col min="9" max="16384" width="0" style="4" hidden="1"/>
  </cols>
  <sheetData>
    <row r="1" spans="1:9">
      <c r="B1" s="2"/>
      <c r="C1" s="255" t="s">
        <v>0</v>
      </c>
      <c r="D1" s="258"/>
      <c r="E1" s="253" t="str">
        <f>[25]Presentacion!C3</f>
        <v>CRAME - IAMPP</v>
      </c>
      <c r="F1" s="253"/>
      <c r="G1" s="136"/>
      <c r="H1" s="3"/>
    </row>
    <row r="2" spans="1:9">
      <c r="B2" s="5"/>
      <c r="C2" s="255" t="s">
        <v>1</v>
      </c>
      <c r="D2" s="258"/>
      <c r="E2" s="253" t="str">
        <f>[25]Presentacion!C4</f>
        <v>Maldonado</v>
      </c>
      <c r="F2" s="253"/>
      <c r="G2" s="136"/>
      <c r="H2" s="3"/>
    </row>
    <row r="3" spans="1:9">
      <c r="B3" s="5"/>
      <c r="C3" s="263" t="s">
        <v>2</v>
      </c>
      <c r="D3" s="263"/>
      <c r="E3" s="254" t="s">
        <v>3</v>
      </c>
      <c r="F3" s="254"/>
      <c r="G3" s="136"/>
      <c r="H3" s="3"/>
    </row>
    <row r="4" spans="1:9" ht="6.7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+[25]E.S.P.!D6</f>
        <v>2021</v>
      </c>
      <c r="E6" s="138"/>
      <c r="F6" s="75" t="s">
        <v>8</v>
      </c>
      <c r="G6" s="76">
        <f>+D6</f>
        <v>2021</v>
      </c>
      <c r="H6" s="12"/>
    </row>
    <row r="7" spans="1:9">
      <c r="B7" s="5" t="s">
        <v>9</v>
      </c>
      <c r="C7" s="78" t="s">
        <v>10</v>
      </c>
      <c r="D7" s="79">
        <v>85291350</v>
      </c>
      <c r="E7" s="138" t="s">
        <v>11</v>
      </c>
      <c r="F7" s="80" t="s">
        <v>12</v>
      </c>
      <c r="G7" s="81">
        <v>4986203</v>
      </c>
    </row>
    <row r="8" spans="1:9">
      <c r="B8" s="5" t="s">
        <v>13</v>
      </c>
      <c r="C8" s="78" t="s">
        <v>14</v>
      </c>
      <c r="D8" s="79">
        <v>42746762</v>
      </c>
      <c r="E8" s="138" t="s">
        <v>15</v>
      </c>
      <c r="F8" s="78" t="s">
        <v>16</v>
      </c>
      <c r="G8" s="82">
        <v>0</v>
      </c>
    </row>
    <row r="9" spans="1:9">
      <c r="B9" s="5" t="s">
        <v>17</v>
      </c>
      <c r="C9" s="78" t="s">
        <v>18</v>
      </c>
      <c r="D9" s="79">
        <v>1325809024</v>
      </c>
      <c r="E9" s="138" t="s">
        <v>19</v>
      </c>
      <c r="F9" s="78" t="s">
        <v>20</v>
      </c>
      <c r="G9" s="79">
        <v>118664037</v>
      </c>
    </row>
    <row r="10" spans="1:9">
      <c r="B10" s="5" t="s">
        <v>21</v>
      </c>
      <c r="C10" s="78" t="s">
        <v>22</v>
      </c>
      <c r="D10" s="79">
        <v>137275079</v>
      </c>
      <c r="E10" s="138" t="s">
        <v>23</v>
      </c>
      <c r="F10" s="78" t="s">
        <v>24</v>
      </c>
      <c r="G10" s="79">
        <v>0</v>
      </c>
    </row>
    <row r="11" spans="1:9">
      <c r="B11" s="5" t="s">
        <v>25</v>
      </c>
      <c r="C11" s="78" t="s">
        <v>26</v>
      </c>
      <c r="D11" s="79">
        <v>20189632</v>
      </c>
      <c r="E11" s="138" t="s">
        <v>27</v>
      </c>
      <c r="F11" s="78" t="s">
        <v>28</v>
      </c>
      <c r="G11" s="79">
        <v>396984999</v>
      </c>
    </row>
    <row r="12" spans="1:9">
      <c r="B12" s="5" t="s">
        <v>29</v>
      </c>
      <c r="C12" s="78" t="s">
        <v>30</v>
      </c>
      <c r="D12" s="79">
        <v>43579816</v>
      </c>
      <c r="E12" s="138" t="s">
        <v>31</v>
      </c>
      <c r="F12" s="78" t="s">
        <v>32</v>
      </c>
      <c r="G12" s="79">
        <v>0</v>
      </c>
    </row>
    <row r="13" spans="1:9">
      <c r="B13" s="5" t="s">
        <v>33</v>
      </c>
      <c r="C13" s="78" t="s">
        <v>34</v>
      </c>
      <c r="D13" s="79">
        <v>0</v>
      </c>
      <c r="E13" s="138" t="s">
        <v>35</v>
      </c>
      <c r="F13" s="78" t="s">
        <v>36</v>
      </c>
      <c r="G13" s="79">
        <v>109801966</v>
      </c>
    </row>
    <row r="14" spans="1:9">
      <c r="A14" s="14"/>
      <c r="B14" s="5" t="s">
        <v>37</v>
      </c>
      <c r="C14" s="78" t="s">
        <v>38</v>
      </c>
      <c r="D14" s="79">
        <v>6872</v>
      </c>
      <c r="E14" s="138" t="s">
        <v>39</v>
      </c>
      <c r="F14" s="78" t="s">
        <v>40</v>
      </c>
      <c r="G14" s="79">
        <v>197065588</v>
      </c>
    </row>
    <row r="15" spans="1:9">
      <c r="B15" s="5" t="s">
        <v>41</v>
      </c>
      <c r="C15" s="83" t="s">
        <v>42</v>
      </c>
      <c r="D15" s="79">
        <v>0</v>
      </c>
      <c r="E15" s="138" t="s">
        <v>43</v>
      </c>
      <c r="F15" s="78" t="s">
        <v>44</v>
      </c>
      <c r="G15" s="79">
        <v>77761092</v>
      </c>
    </row>
    <row r="16" spans="1:9">
      <c r="B16" s="5" t="s">
        <v>45</v>
      </c>
      <c r="C16" s="78" t="s">
        <v>46</v>
      </c>
      <c r="D16" s="79">
        <v>0</v>
      </c>
      <c r="E16" s="138" t="s">
        <v>47</v>
      </c>
      <c r="F16" s="78" t="s">
        <v>48</v>
      </c>
      <c r="G16" s="79">
        <v>0</v>
      </c>
    </row>
    <row r="17" spans="1:7">
      <c r="B17" s="5" t="s">
        <v>49</v>
      </c>
      <c r="C17" s="78" t="s">
        <v>50</v>
      </c>
      <c r="D17" s="79">
        <v>0</v>
      </c>
      <c r="E17" s="138" t="s">
        <v>51</v>
      </c>
      <c r="F17" s="78" t="s">
        <v>52</v>
      </c>
      <c r="G17" s="79">
        <v>0</v>
      </c>
    </row>
    <row r="18" spans="1:7">
      <c r="A18" s="14"/>
      <c r="B18" s="5" t="s">
        <v>53</v>
      </c>
      <c r="C18" s="78" t="s">
        <v>54</v>
      </c>
      <c r="D18" s="79">
        <v>462709</v>
      </c>
      <c r="E18" s="138" t="s">
        <v>55</v>
      </c>
      <c r="F18" s="78" t="s">
        <v>56</v>
      </c>
      <c r="G18" s="84">
        <v>31016025</v>
      </c>
    </row>
    <row r="19" spans="1:7" ht="16.5" thickBot="1">
      <c r="A19" s="14"/>
      <c r="B19" s="5" t="s">
        <v>57</v>
      </c>
      <c r="C19" s="78" t="s">
        <v>58</v>
      </c>
      <c r="D19" s="79">
        <v>56817511</v>
      </c>
      <c r="E19" s="138"/>
      <c r="F19" s="85" t="s">
        <v>59</v>
      </c>
      <c r="G19" s="86">
        <f>SUM(G7:G18)</f>
        <v>936279910</v>
      </c>
    </row>
    <row r="20" spans="1:7" ht="16.5" thickBot="1">
      <c r="B20" s="5"/>
      <c r="C20" s="85" t="s">
        <v>60</v>
      </c>
      <c r="D20" s="86">
        <f>SUM(D7:D19)</f>
        <v>1712178755</v>
      </c>
      <c r="E20" s="138" t="s">
        <v>61</v>
      </c>
      <c r="F20" s="80" t="s">
        <v>62</v>
      </c>
      <c r="G20" s="81">
        <v>0</v>
      </c>
    </row>
    <row r="21" spans="1:7">
      <c r="B21" s="5"/>
      <c r="C21" s="87" t="s">
        <v>63</v>
      </c>
      <c r="D21" s="88">
        <f>SUM(D22:D28)</f>
        <v>25847566</v>
      </c>
      <c r="E21" s="138" t="s">
        <v>64</v>
      </c>
      <c r="F21" s="78" t="s">
        <v>65</v>
      </c>
      <c r="G21" s="79">
        <v>21222697</v>
      </c>
    </row>
    <row r="22" spans="1:7">
      <c r="B22" s="5" t="s">
        <v>66</v>
      </c>
      <c r="C22" s="78" t="s">
        <v>67</v>
      </c>
      <c r="D22" s="79">
        <v>17074484</v>
      </c>
      <c r="E22" s="138" t="s">
        <v>68</v>
      </c>
      <c r="F22" s="78" t="s">
        <v>69</v>
      </c>
      <c r="G22" s="79">
        <v>2359727.92</v>
      </c>
    </row>
    <row r="23" spans="1:7">
      <c r="B23" s="5" t="s">
        <v>70</v>
      </c>
      <c r="C23" s="78" t="s">
        <v>71</v>
      </c>
      <c r="D23" s="79">
        <v>2062005</v>
      </c>
      <c r="E23" s="138" t="s">
        <v>72</v>
      </c>
      <c r="F23" s="78" t="s">
        <v>73</v>
      </c>
      <c r="G23" s="79">
        <v>12914688.640000001</v>
      </c>
    </row>
    <row r="24" spans="1:7">
      <c r="B24" s="5" t="s">
        <v>74</v>
      </c>
      <c r="C24" s="78" t="s">
        <v>75</v>
      </c>
      <c r="D24" s="79">
        <v>5666218</v>
      </c>
      <c r="E24" s="138" t="s">
        <v>76</v>
      </c>
      <c r="F24" s="78" t="s">
        <v>77</v>
      </c>
      <c r="G24" s="79">
        <v>0</v>
      </c>
    </row>
    <row r="25" spans="1:7">
      <c r="B25" s="5" t="s">
        <v>78</v>
      </c>
      <c r="C25" s="78" t="s">
        <v>79</v>
      </c>
      <c r="D25" s="79">
        <v>0</v>
      </c>
      <c r="E25" s="138" t="s">
        <v>80</v>
      </c>
      <c r="F25" s="78" t="s">
        <v>81</v>
      </c>
      <c r="G25" s="79">
        <v>6961162.8899999987</v>
      </c>
    </row>
    <row r="26" spans="1:7">
      <c r="B26" s="5" t="s">
        <v>82</v>
      </c>
      <c r="C26" s="78" t="s">
        <v>83</v>
      </c>
      <c r="D26" s="79">
        <v>220964</v>
      </c>
      <c r="E26" s="138" t="s">
        <v>84</v>
      </c>
      <c r="F26" s="78" t="s">
        <v>85</v>
      </c>
      <c r="G26" s="84">
        <v>1447052</v>
      </c>
    </row>
    <row r="27" spans="1:7" ht="13.5" customHeight="1" thickBot="1">
      <c r="B27" s="5" t="s">
        <v>86</v>
      </c>
      <c r="C27" s="78" t="s">
        <v>87</v>
      </c>
      <c r="D27" s="79">
        <v>0</v>
      </c>
      <c r="E27" s="138"/>
      <c r="F27" s="85" t="s">
        <v>88</v>
      </c>
      <c r="G27" s="86">
        <f>SUM(G20:G26)</f>
        <v>44905328.450000003</v>
      </c>
    </row>
    <row r="28" spans="1:7">
      <c r="B28" s="5" t="s">
        <v>89</v>
      </c>
      <c r="C28" s="78" t="s">
        <v>90</v>
      </c>
      <c r="D28" s="79">
        <v>823895</v>
      </c>
      <c r="E28" s="138" t="s">
        <v>91</v>
      </c>
      <c r="F28" s="80" t="s">
        <v>92</v>
      </c>
      <c r="G28" s="81">
        <v>72655126</v>
      </c>
    </row>
    <row r="29" spans="1:7">
      <c r="B29" s="5"/>
      <c r="C29" s="89" t="s">
        <v>93</v>
      </c>
      <c r="D29" s="88">
        <f>SUM(D30:D34)</f>
        <v>106397229</v>
      </c>
      <c r="E29" s="138" t="s">
        <v>94</v>
      </c>
      <c r="F29" s="78" t="s">
        <v>95</v>
      </c>
      <c r="G29" s="79">
        <v>0</v>
      </c>
    </row>
    <row r="30" spans="1:7">
      <c r="B30" s="5" t="s">
        <v>96</v>
      </c>
      <c r="C30" s="78" t="s">
        <v>97</v>
      </c>
      <c r="D30" s="79">
        <v>72070225</v>
      </c>
      <c r="E30" s="138" t="s">
        <v>98</v>
      </c>
      <c r="F30" s="78" t="s">
        <v>99</v>
      </c>
      <c r="G30" s="79">
        <v>0</v>
      </c>
    </row>
    <row r="31" spans="1:7">
      <c r="B31" s="5" t="s">
        <v>100</v>
      </c>
      <c r="C31" s="78" t="s">
        <v>101</v>
      </c>
      <c r="D31" s="79">
        <v>13495274</v>
      </c>
      <c r="E31" s="138" t="s">
        <v>102</v>
      </c>
      <c r="F31" s="78" t="s">
        <v>103</v>
      </c>
      <c r="G31" s="84">
        <v>2578194</v>
      </c>
    </row>
    <row r="32" spans="1:7" ht="16.5" thickBot="1">
      <c r="B32" s="5" t="s">
        <v>104</v>
      </c>
      <c r="C32" s="78" t="s">
        <v>105</v>
      </c>
      <c r="D32" s="79">
        <v>17392897</v>
      </c>
      <c r="E32" s="138"/>
      <c r="F32" s="85" t="s">
        <v>106</v>
      </c>
      <c r="G32" s="86">
        <f>SUM(G28:G31)</f>
        <v>75233320</v>
      </c>
    </row>
    <row r="33" spans="2:7">
      <c r="B33" s="5" t="s">
        <v>107</v>
      </c>
      <c r="C33" s="78" t="s">
        <v>108</v>
      </c>
      <c r="D33" s="79">
        <v>0</v>
      </c>
      <c r="E33" s="138"/>
      <c r="F33" s="89" t="s">
        <v>109</v>
      </c>
      <c r="G33" s="88">
        <f>SUM(G34:G39)</f>
        <v>120233888</v>
      </c>
    </row>
    <row r="34" spans="2:7">
      <c r="B34" s="5" t="s">
        <v>110</v>
      </c>
      <c r="C34" s="78" t="s">
        <v>111</v>
      </c>
      <c r="D34" s="79">
        <v>3438833</v>
      </c>
      <c r="E34" s="138" t="s">
        <v>112</v>
      </c>
      <c r="F34" s="78" t="s">
        <v>113</v>
      </c>
      <c r="G34" s="79">
        <v>5804008.6200000001</v>
      </c>
    </row>
    <row r="35" spans="2:7" ht="16.5" thickBot="1">
      <c r="B35" s="5"/>
      <c r="C35" s="85" t="s">
        <v>114</v>
      </c>
      <c r="D35" s="86">
        <f>+D21+D29</f>
        <v>132244795</v>
      </c>
      <c r="E35" s="138" t="s">
        <v>115</v>
      </c>
      <c r="F35" s="78" t="s">
        <v>116</v>
      </c>
      <c r="G35" s="79">
        <v>6346713.5800000001</v>
      </c>
    </row>
    <row r="36" spans="2:7">
      <c r="B36" s="5" t="s">
        <v>117</v>
      </c>
      <c r="C36" s="78" t="s">
        <v>118</v>
      </c>
      <c r="D36" s="79">
        <v>49283768</v>
      </c>
      <c r="E36" s="138" t="s">
        <v>119</v>
      </c>
      <c r="F36" s="78" t="s">
        <v>517</v>
      </c>
      <c r="G36" s="79">
        <v>2214721.5499999998</v>
      </c>
    </row>
    <row r="37" spans="2:7">
      <c r="B37" s="5" t="s">
        <v>120</v>
      </c>
      <c r="C37" s="78" t="s">
        <v>121</v>
      </c>
      <c r="D37" s="79">
        <v>15539003</v>
      </c>
      <c r="E37" s="138" t="s">
        <v>122</v>
      </c>
      <c r="F37" s="78" t="s">
        <v>123</v>
      </c>
      <c r="G37" s="79">
        <v>6463325.3100000005</v>
      </c>
    </row>
    <row r="38" spans="2:7">
      <c r="B38" s="5" t="s">
        <v>124</v>
      </c>
      <c r="C38" s="78" t="s">
        <v>125</v>
      </c>
      <c r="D38" s="79">
        <v>0</v>
      </c>
      <c r="E38" s="138" t="s">
        <v>126</v>
      </c>
      <c r="F38" s="78" t="s">
        <v>127</v>
      </c>
      <c r="G38" s="79">
        <v>11537909.060000001</v>
      </c>
    </row>
    <row r="39" spans="2:7">
      <c r="B39" s="5" t="s">
        <v>128</v>
      </c>
      <c r="C39" s="78" t="s">
        <v>129</v>
      </c>
      <c r="D39" s="79">
        <v>0</v>
      </c>
      <c r="E39" s="138" t="s">
        <v>130</v>
      </c>
      <c r="F39" s="78" t="s">
        <v>131</v>
      </c>
      <c r="G39" s="79">
        <v>87867209.879999995</v>
      </c>
    </row>
    <row r="40" spans="2:7">
      <c r="B40" s="5" t="s">
        <v>132</v>
      </c>
      <c r="C40" s="78" t="s">
        <v>133</v>
      </c>
      <c r="D40" s="79">
        <v>0</v>
      </c>
      <c r="E40" s="138"/>
      <c r="F40" s="90" t="s">
        <v>134</v>
      </c>
      <c r="G40" s="91">
        <f>SUM(G41:G46)</f>
        <v>23455385</v>
      </c>
    </row>
    <row r="41" spans="2:7">
      <c r="B41" s="5" t="s">
        <v>135</v>
      </c>
      <c r="C41" s="78" t="s">
        <v>136</v>
      </c>
      <c r="D41" s="79">
        <v>1136370</v>
      </c>
      <c r="E41" s="138" t="s">
        <v>137</v>
      </c>
      <c r="F41" s="78" t="s">
        <v>138</v>
      </c>
      <c r="G41" s="79">
        <v>22022.52</v>
      </c>
    </row>
    <row r="42" spans="2:7">
      <c r="B42" s="5" t="s">
        <v>139</v>
      </c>
      <c r="C42" s="78" t="s">
        <v>140</v>
      </c>
      <c r="D42" s="79">
        <v>86555693</v>
      </c>
      <c r="E42" s="138" t="s">
        <v>141</v>
      </c>
      <c r="F42" s="78" t="s">
        <v>142</v>
      </c>
      <c r="G42" s="79">
        <v>12616.83</v>
      </c>
    </row>
    <row r="43" spans="2:7">
      <c r="B43" s="5" t="s">
        <v>143</v>
      </c>
      <c r="C43" s="78" t="s">
        <v>144</v>
      </c>
      <c r="D43" s="79">
        <v>0</v>
      </c>
      <c r="E43" s="138" t="s">
        <v>145</v>
      </c>
      <c r="F43" s="78" t="s">
        <v>146</v>
      </c>
      <c r="G43" s="79">
        <v>2630635.38</v>
      </c>
    </row>
    <row r="44" spans="2:7">
      <c r="B44" s="5" t="s">
        <v>147</v>
      </c>
      <c r="C44" s="78" t="s">
        <v>148</v>
      </c>
      <c r="D44" s="79">
        <v>0</v>
      </c>
      <c r="E44" s="138" t="s">
        <v>149</v>
      </c>
      <c r="F44" s="78" t="s">
        <v>150</v>
      </c>
      <c r="G44" s="79">
        <v>2323579.19</v>
      </c>
    </row>
    <row r="45" spans="2:7">
      <c r="B45" s="5" t="s">
        <v>151</v>
      </c>
      <c r="C45" s="78" t="s">
        <v>152</v>
      </c>
      <c r="D45" s="79">
        <v>0</v>
      </c>
      <c r="E45" s="138" t="s">
        <v>153</v>
      </c>
      <c r="F45" s="78" t="s">
        <v>154</v>
      </c>
      <c r="G45" s="79">
        <v>701372.53</v>
      </c>
    </row>
    <row r="46" spans="2:7">
      <c r="B46" s="5" t="s">
        <v>155</v>
      </c>
      <c r="C46" s="78" t="s">
        <v>156</v>
      </c>
      <c r="D46" s="79">
        <v>5766389</v>
      </c>
      <c r="E46" s="138" t="s">
        <v>157</v>
      </c>
      <c r="F46" s="78" t="s">
        <v>158</v>
      </c>
      <c r="G46" s="79">
        <v>17765158.550000001</v>
      </c>
    </row>
    <row r="47" spans="2:7" ht="16.5" thickBot="1">
      <c r="B47" s="5"/>
      <c r="C47" s="85" t="s">
        <v>159</v>
      </c>
      <c r="D47" s="86">
        <f>SUM(D36:D46)</f>
        <v>158281223</v>
      </c>
      <c r="E47" s="138" t="s">
        <v>160</v>
      </c>
      <c r="F47" s="78" t="s">
        <v>161</v>
      </c>
      <c r="G47" s="84">
        <v>4810840</v>
      </c>
    </row>
    <row r="48" spans="2:7" ht="16.5" thickBot="1">
      <c r="B48" s="5"/>
      <c r="C48" s="92" t="s">
        <v>162</v>
      </c>
      <c r="D48" s="93"/>
      <c r="E48" s="138"/>
      <c r="F48" s="85" t="s">
        <v>163</v>
      </c>
      <c r="G48" s="94">
        <f>+G33+G40+G47</f>
        <v>148500113</v>
      </c>
    </row>
    <row r="49" spans="2:7">
      <c r="B49" s="5" t="s">
        <v>164</v>
      </c>
      <c r="C49" s="95" t="s">
        <v>165</v>
      </c>
      <c r="D49" s="96">
        <v>0</v>
      </c>
      <c r="E49" s="138" t="s">
        <v>166</v>
      </c>
      <c r="F49" s="80" t="s">
        <v>167</v>
      </c>
      <c r="G49" s="81">
        <v>0</v>
      </c>
    </row>
    <row r="50" spans="2:7">
      <c r="B50" s="5" t="s">
        <v>168</v>
      </c>
      <c r="C50" s="78" t="s">
        <v>162</v>
      </c>
      <c r="D50" s="79">
        <f>23323425</f>
        <v>23323425</v>
      </c>
      <c r="E50" s="138" t="s">
        <v>169</v>
      </c>
      <c r="F50" s="78" t="s">
        <v>170</v>
      </c>
      <c r="G50" s="79">
        <v>70949080</v>
      </c>
    </row>
    <row r="51" spans="2:7">
      <c r="B51" s="5" t="s">
        <v>171</v>
      </c>
      <c r="C51" s="78" t="s">
        <v>172</v>
      </c>
      <c r="D51" s="84">
        <v>293891</v>
      </c>
      <c r="E51" s="138" t="s">
        <v>173</v>
      </c>
      <c r="F51" s="78" t="s">
        <v>174</v>
      </c>
      <c r="G51" s="79">
        <v>2129582</v>
      </c>
    </row>
    <row r="52" spans="2:7" ht="16.5" thickBot="1">
      <c r="B52" s="11"/>
      <c r="C52" s="85" t="s">
        <v>175</v>
      </c>
      <c r="D52" s="86">
        <f>SUM(D49:D51)</f>
        <v>23617316</v>
      </c>
      <c r="E52" s="138" t="s">
        <v>176</v>
      </c>
      <c r="F52" s="78" t="s">
        <v>177</v>
      </c>
      <c r="G52" s="79">
        <v>4624415</v>
      </c>
    </row>
    <row r="53" spans="2:7" ht="16.5" thickBot="1">
      <c r="B53" s="5"/>
      <c r="C53" s="75" t="s">
        <v>178</v>
      </c>
      <c r="D53" s="97">
        <f>D20+D35+D47+D52</f>
        <v>2026322089</v>
      </c>
      <c r="E53" s="138" t="s">
        <v>179</v>
      </c>
      <c r="F53" s="78" t="s">
        <v>180</v>
      </c>
      <c r="G53" s="79">
        <v>0</v>
      </c>
    </row>
    <row r="54" spans="2:7">
      <c r="C54" s="98"/>
      <c r="D54" s="99"/>
      <c r="E54" s="138" t="s">
        <v>181</v>
      </c>
      <c r="F54" s="78" t="s">
        <v>182</v>
      </c>
      <c r="G54" s="79">
        <v>0</v>
      </c>
    </row>
    <row r="55" spans="2:7">
      <c r="C55" s="100" t="s">
        <v>183</v>
      </c>
      <c r="D55" s="101"/>
      <c r="E55" s="138" t="s">
        <v>184</v>
      </c>
      <c r="F55" s="78" t="s">
        <v>185</v>
      </c>
      <c r="G55" s="79">
        <v>0</v>
      </c>
    </row>
    <row r="56" spans="2:7">
      <c r="B56" s="5" t="s">
        <v>186</v>
      </c>
      <c r="C56" s="102" t="s">
        <v>187</v>
      </c>
      <c r="D56" s="79"/>
      <c r="E56" s="138" t="s">
        <v>188</v>
      </c>
      <c r="F56" s="78" t="s">
        <v>189</v>
      </c>
      <c r="G56" s="84">
        <v>2548804</v>
      </c>
    </row>
    <row r="57" spans="2:7" ht="14.25" customHeight="1" thickBot="1">
      <c r="B57" s="5" t="s">
        <v>190</v>
      </c>
      <c r="C57" s="102" t="s">
        <v>191</v>
      </c>
      <c r="D57" s="79"/>
      <c r="E57" s="138"/>
      <c r="F57" s="85" t="s">
        <v>192</v>
      </c>
      <c r="G57" s="86">
        <f>SUM(G49:G56)</f>
        <v>80251881</v>
      </c>
    </row>
    <row r="58" spans="2:7">
      <c r="B58" s="5" t="s">
        <v>193</v>
      </c>
      <c r="C58" s="102" t="s">
        <v>194</v>
      </c>
      <c r="D58" s="79">
        <v>-2715315</v>
      </c>
      <c r="E58" s="138" t="s">
        <v>195</v>
      </c>
      <c r="F58" s="80" t="s">
        <v>196</v>
      </c>
      <c r="G58" s="81">
        <v>0</v>
      </c>
    </row>
    <row r="59" spans="2:7">
      <c r="B59" s="5" t="s">
        <v>197</v>
      </c>
      <c r="C59" s="78" t="s">
        <v>198</v>
      </c>
      <c r="D59" s="84">
        <v>-121044</v>
      </c>
      <c r="E59" s="138" t="s">
        <v>199</v>
      </c>
      <c r="F59" s="78" t="s">
        <v>200</v>
      </c>
      <c r="G59" s="79">
        <v>10025680</v>
      </c>
    </row>
    <row r="60" spans="2:7" ht="16.5" thickBot="1">
      <c r="B60" s="5"/>
      <c r="C60" s="85" t="s">
        <v>201</v>
      </c>
      <c r="D60" s="86">
        <f>SUM(D56:D59)</f>
        <v>-2836359</v>
      </c>
      <c r="E60" s="138" t="s">
        <v>202</v>
      </c>
      <c r="F60" s="78" t="s">
        <v>203</v>
      </c>
      <c r="G60" s="79">
        <v>0</v>
      </c>
    </row>
    <row r="61" spans="2:7" ht="16.5" thickBot="1">
      <c r="B61" s="15"/>
      <c r="C61" s="72" t="s">
        <v>204</v>
      </c>
      <c r="D61" s="103">
        <f>D53+D60</f>
        <v>2023485730</v>
      </c>
      <c r="E61" s="138" t="s">
        <v>205</v>
      </c>
      <c r="F61" s="78" t="s">
        <v>206</v>
      </c>
      <c r="G61" s="79">
        <v>0</v>
      </c>
    </row>
    <row r="62" spans="2:7">
      <c r="B62" s="16"/>
      <c r="C62" s="116"/>
      <c r="D62" s="116"/>
      <c r="E62" s="138" t="s">
        <v>207</v>
      </c>
      <c r="F62" s="78" t="s">
        <v>208</v>
      </c>
      <c r="G62" s="79">
        <v>0</v>
      </c>
    </row>
    <row r="63" spans="2:7">
      <c r="B63" s="17"/>
      <c r="C63" s="222" t="s">
        <v>8</v>
      </c>
      <c r="D63" s="222"/>
      <c r="E63" s="138" t="s">
        <v>209</v>
      </c>
      <c r="F63" s="78" t="s">
        <v>210</v>
      </c>
      <c r="G63" s="79">
        <v>112425163</v>
      </c>
    </row>
    <row r="64" spans="2:7">
      <c r="B64" s="18" t="s">
        <v>211</v>
      </c>
      <c r="C64" s="223" t="s">
        <v>212</v>
      </c>
      <c r="D64" s="223">
        <f>[25]Amortizaciones!D6</f>
        <v>0</v>
      </c>
      <c r="E64" s="138" t="s">
        <v>213</v>
      </c>
      <c r="F64" s="78" t="s">
        <v>214</v>
      </c>
      <c r="G64" s="79">
        <v>6921298.75</v>
      </c>
    </row>
    <row r="65" spans="2:7">
      <c r="B65" s="18" t="s">
        <v>215</v>
      </c>
      <c r="C65" s="223" t="s">
        <v>216</v>
      </c>
      <c r="D65" s="223">
        <f>[25]Amortizaciones!D7</f>
        <v>0</v>
      </c>
      <c r="E65" s="138" t="s">
        <v>217</v>
      </c>
      <c r="F65" s="78" t="s">
        <v>218</v>
      </c>
      <c r="G65" s="79">
        <v>14770800</v>
      </c>
    </row>
    <row r="66" spans="2:7">
      <c r="B66" s="18" t="s">
        <v>219</v>
      </c>
      <c r="C66" s="223" t="s">
        <v>220</v>
      </c>
      <c r="D66" s="223">
        <f>[25]Amortizaciones!D8</f>
        <v>0</v>
      </c>
      <c r="E66" s="138" t="s">
        <v>221</v>
      </c>
      <c r="F66" s="78" t="s">
        <v>222</v>
      </c>
      <c r="G66" s="79">
        <v>5030372.26</v>
      </c>
    </row>
    <row r="67" spans="2:7">
      <c r="B67" s="18" t="s">
        <v>223</v>
      </c>
      <c r="C67" s="223" t="s">
        <v>224</v>
      </c>
      <c r="D67" s="223">
        <f>[25]Amortizaciones!D9</f>
        <v>0</v>
      </c>
      <c r="E67" s="138" t="s">
        <v>225</v>
      </c>
      <c r="F67" s="78" t="s">
        <v>226</v>
      </c>
      <c r="G67" s="79">
        <v>9401116.9700000007</v>
      </c>
    </row>
    <row r="68" spans="2:7">
      <c r="B68" s="18" t="s">
        <v>227</v>
      </c>
      <c r="C68" s="223" t="s">
        <v>228</v>
      </c>
      <c r="D68" s="223">
        <f>[25]Amortizaciones!D10</f>
        <v>0</v>
      </c>
      <c r="E68" s="138" t="s">
        <v>229</v>
      </c>
      <c r="F68" s="78" t="s">
        <v>230</v>
      </c>
      <c r="G68" s="79">
        <v>278640</v>
      </c>
    </row>
    <row r="69" spans="2:7">
      <c r="B69" s="18" t="s">
        <v>231</v>
      </c>
      <c r="C69" s="223" t="s">
        <v>232</v>
      </c>
      <c r="D69" s="223">
        <f>[25]Amortizaciones!D11</f>
        <v>0</v>
      </c>
      <c r="E69" s="138" t="s">
        <v>233</v>
      </c>
      <c r="F69" s="78" t="s">
        <v>234</v>
      </c>
      <c r="G69" s="79">
        <v>7292347.8300000001</v>
      </c>
    </row>
    <row r="70" spans="2:7">
      <c r="B70" s="18" t="s">
        <v>235</v>
      </c>
      <c r="C70" s="223" t="s">
        <v>236</v>
      </c>
      <c r="D70" s="223">
        <f>[25]Amortizaciones!D12</f>
        <v>0</v>
      </c>
      <c r="E70" s="138" t="s">
        <v>237</v>
      </c>
      <c r="F70" s="78" t="s">
        <v>238</v>
      </c>
      <c r="G70" s="79">
        <v>2705750.43</v>
      </c>
    </row>
    <row r="71" spans="2:7">
      <c r="B71" s="18" t="s">
        <v>239</v>
      </c>
      <c r="C71" s="223" t="s">
        <v>240</v>
      </c>
      <c r="D71" s="223">
        <f>[25]Amortizaciones!D13</f>
        <v>0</v>
      </c>
      <c r="E71" s="138" t="s">
        <v>241</v>
      </c>
      <c r="F71" s="78" t="s">
        <v>242</v>
      </c>
      <c r="G71" s="79">
        <v>558882.77</v>
      </c>
    </row>
    <row r="72" spans="2:7">
      <c r="B72" s="18" t="s">
        <v>243</v>
      </c>
      <c r="C72" s="223" t="s">
        <v>244</v>
      </c>
      <c r="D72" s="223">
        <f>[25]Amortizaciones!D14</f>
        <v>0</v>
      </c>
      <c r="E72" s="138" t="s">
        <v>245</v>
      </c>
      <c r="F72" s="78" t="s">
        <v>246</v>
      </c>
      <c r="G72" s="79">
        <v>17712908.620000001</v>
      </c>
    </row>
    <row r="73" spans="2:7">
      <c r="B73" s="18" t="s">
        <v>247</v>
      </c>
      <c r="C73" s="223" t="s">
        <v>248</v>
      </c>
      <c r="D73" s="223">
        <f>[25]Amortizaciones!D15</f>
        <v>43651666</v>
      </c>
      <c r="E73" s="138" t="s">
        <v>249</v>
      </c>
      <c r="F73" s="78" t="s">
        <v>250</v>
      </c>
      <c r="G73" s="79">
        <v>0</v>
      </c>
    </row>
    <row r="74" spans="2:7">
      <c r="B74" s="18" t="s">
        <v>251</v>
      </c>
      <c r="C74" s="223" t="s">
        <v>252</v>
      </c>
      <c r="D74" s="223">
        <f>[25]Amortizaciones!D16</f>
        <v>0</v>
      </c>
      <c r="E74" s="138" t="s">
        <v>253</v>
      </c>
      <c r="F74" s="78" t="s">
        <v>254</v>
      </c>
      <c r="G74" s="79">
        <v>0</v>
      </c>
    </row>
    <row r="75" spans="2:7">
      <c r="B75" s="18" t="s">
        <v>255</v>
      </c>
      <c r="C75" s="223" t="s">
        <v>256</v>
      </c>
      <c r="D75" s="223">
        <f>[25]Amortizaciones!D17</f>
        <v>0</v>
      </c>
      <c r="E75" s="138" t="s">
        <v>257</v>
      </c>
      <c r="F75" s="78" t="s">
        <v>258</v>
      </c>
      <c r="G75" s="79">
        <v>9566396.620000001</v>
      </c>
    </row>
    <row r="76" spans="2:7">
      <c r="B76" s="18" t="s">
        <v>259</v>
      </c>
      <c r="C76" s="223" t="s">
        <v>260</v>
      </c>
      <c r="D76" s="223">
        <f>[25]Amortizaciones!D18</f>
        <v>0</v>
      </c>
      <c r="E76" s="138" t="s">
        <v>261</v>
      </c>
      <c r="F76" s="78" t="s">
        <v>262</v>
      </c>
      <c r="G76" s="79">
        <v>19973220.969999999</v>
      </c>
    </row>
    <row r="77" spans="2:7">
      <c r="B77" s="18" t="s">
        <v>263</v>
      </c>
      <c r="C77" s="223" t="s">
        <v>264</v>
      </c>
      <c r="D77" s="223">
        <f>SUM(D64:D76)</f>
        <v>43651666</v>
      </c>
      <c r="E77" s="138" t="s">
        <v>265</v>
      </c>
      <c r="F77" s="78" t="s">
        <v>266</v>
      </c>
      <c r="G77" s="79">
        <v>68254895.400000006</v>
      </c>
    </row>
    <row r="78" spans="2:7">
      <c r="B78" s="18"/>
      <c r="C78" s="223"/>
      <c r="D78" s="223"/>
      <c r="E78" s="138" t="s">
        <v>267</v>
      </c>
      <c r="F78" s="78" t="s">
        <v>268</v>
      </c>
      <c r="G78" s="84">
        <v>9384315</v>
      </c>
    </row>
    <row r="79" spans="2:7" ht="16.5" thickBot="1">
      <c r="B79" s="18"/>
      <c r="C79" s="222" t="s">
        <v>269</v>
      </c>
      <c r="D79" s="224"/>
      <c r="E79" s="138"/>
      <c r="F79" s="85" t="s">
        <v>270</v>
      </c>
      <c r="G79" s="86">
        <f>SUM(G58:G78)</f>
        <v>294301788.62</v>
      </c>
    </row>
    <row r="80" spans="2:7">
      <c r="B80" s="18" t="s">
        <v>271</v>
      </c>
      <c r="C80" s="223" t="s">
        <v>236</v>
      </c>
      <c r="D80" s="223">
        <f>[25]Amortizaciones!D22</f>
        <v>0</v>
      </c>
      <c r="E80" s="138" t="s">
        <v>272</v>
      </c>
      <c r="F80" s="80" t="s">
        <v>273</v>
      </c>
      <c r="G80" s="81">
        <v>6745065.8025000002</v>
      </c>
    </row>
    <row r="81" spans="2:7">
      <c r="B81" s="18" t="s">
        <v>274</v>
      </c>
      <c r="C81" s="223" t="s">
        <v>240</v>
      </c>
      <c r="D81" s="223">
        <f>[25]Amortizaciones!D23</f>
        <v>0</v>
      </c>
      <c r="E81" s="138" t="s">
        <v>275</v>
      </c>
      <c r="F81" s="78" t="s">
        <v>276</v>
      </c>
      <c r="G81" s="79">
        <v>16883025.954999998</v>
      </c>
    </row>
    <row r="82" spans="2:7">
      <c r="B82" s="18" t="s">
        <v>277</v>
      </c>
      <c r="C82" s="223" t="s">
        <v>244</v>
      </c>
      <c r="D82" s="223">
        <f>[25]Amortizaciones!D24</f>
        <v>0</v>
      </c>
      <c r="E82" s="138" t="s">
        <v>278</v>
      </c>
      <c r="F82" s="78" t="s">
        <v>279</v>
      </c>
      <c r="G82" s="79">
        <v>950003.31749999989</v>
      </c>
    </row>
    <row r="83" spans="2:7">
      <c r="B83" s="18" t="s">
        <v>280</v>
      </c>
      <c r="C83" s="223" t="s">
        <v>248</v>
      </c>
      <c r="D83" s="223">
        <f>[25]Amortizaciones!D25</f>
        <v>11126869</v>
      </c>
      <c r="E83" s="138" t="s">
        <v>281</v>
      </c>
      <c r="F83" s="78" t="s">
        <v>282</v>
      </c>
      <c r="G83" s="79">
        <v>3553248.0225</v>
      </c>
    </row>
    <row r="84" spans="2:7">
      <c r="B84" s="18" t="s">
        <v>283</v>
      </c>
      <c r="C84" s="223" t="s">
        <v>284</v>
      </c>
      <c r="D84" s="223">
        <v>0</v>
      </c>
      <c r="E84" s="138" t="s">
        <v>285</v>
      </c>
      <c r="F84" s="78" t="s">
        <v>286</v>
      </c>
      <c r="G84" s="79">
        <v>6650318.7149999999</v>
      </c>
    </row>
    <row r="85" spans="2:7">
      <c r="B85" s="18" t="s">
        <v>287</v>
      </c>
      <c r="C85" s="223" t="s">
        <v>288</v>
      </c>
      <c r="D85" s="223">
        <f>[25]Amortizaciones!D27</f>
        <v>0</v>
      </c>
      <c r="E85" s="138" t="s">
        <v>289</v>
      </c>
      <c r="F85" s="78" t="s">
        <v>290</v>
      </c>
      <c r="G85" s="79">
        <v>4154415.5249999994</v>
      </c>
    </row>
    <row r="86" spans="2:7" ht="13.5" customHeight="1">
      <c r="B86" s="18" t="s">
        <v>291</v>
      </c>
      <c r="C86" s="223" t="s">
        <v>292</v>
      </c>
      <c r="D86" s="223">
        <f>[25]Amortizaciones!D28</f>
        <v>0</v>
      </c>
      <c r="E86" s="138" t="s">
        <v>293</v>
      </c>
      <c r="F86" s="78" t="s">
        <v>294</v>
      </c>
      <c r="G86" s="79">
        <v>82714.544999999998</v>
      </c>
    </row>
    <row r="87" spans="2:7" ht="13.5" customHeight="1">
      <c r="B87" s="18" t="s">
        <v>295</v>
      </c>
      <c r="C87" s="223" t="s">
        <v>296</v>
      </c>
      <c r="D87" s="223">
        <f>[25]Amortizaciones!D29</f>
        <v>0</v>
      </c>
      <c r="E87" s="138" t="s">
        <v>297</v>
      </c>
      <c r="F87" s="78" t="s">
        <v>298</v>
      </c>
      <c r="G87" s="79">
        <v>0</v>
      </c>
    </row>
    <row r="88" spans="2:7" ht="13.5" customHeight="1">
      <c r="B88" s="18" t="s">
        <v>299</v>
      </c>
      <c r="C88" s="223" t="s">
        <v>300</v>
      </c>
      <c r="D88" s="223">
        <f>[25]Amortizaciones!D30</f>
        <v>0</v>
      </c>
      <c r="E88" s="138" t="s">
        <v>301</v>
      </c>
      <c r="F88" s="78" t="s">
        <v>302</v>
      </c>
      <c r="G88" s="79">
        <v>6867405.5549999997</v>
      </c>
    </row>
    <row r="89" spans="2:7">
      <c r="B89" s="18" t="s">
        <v>303</v>
      </c>
      <c r="C89" s="223" t="s">
        <v>212</v>
      </c>
      <c r="D89" s="223">
        <f>[25]Amortizaciones!D31</f>
        <v>0</v>
      </c>
      <c r="E89" s="138" t="s">
        <v>304</v>
      </c>
      <c r="F89" s="78" t="s">
        <v>305</v>
      </c>
      <c r="G89" s="79">
        <v>0</v>
      </c>
    </row>
    <row r="90" spans="2:7" ht="14.25" customHeight="1">
      <c r="B90" s="18" t="s">
        <v>306</v>
      </c>
      <c r="C90" s="223" t="s">
        <v>228</v>
      </c>
      <c r="D90" s="223">
        <f>[25]Amortizaciones!D32</f>
        <v>0</v>
      </c>
      <c r="E90" s="138" t="s">
        <v>307</v>
      </c>
      <c r="F90" s="78" t="s">
        <v>308</v>
      </c>
      <c r="G90" s="79">
        <v>0</v>
      </c>
    </row>
    <row r="91" spans="2:7" ht="14.25" customHeight="1">
      <c r="B91" s="18" t="s">
        <v>309</v>
      </c>
      <c r="C91" s="223" t="s">
        <v>310</v>
      </c>
      <c r="D91" s="223">
        <f>SUM(D80:D90)</f>
        <v>11126869</v>
      </c>
      <c r="E91" s="225" t="s">
        <v>311</v>
      </c>
      <c r="F91" s="78" t="s">
        <v>312</v>
      </c>
      <c r="G91" s="79">
        <v>0</v>
      </c>
    </row>
    <row r="92" spans="2:7" ht="14.25" customHeight="1">
      <c r="B92" s="18"/>
      <c r="C92" s="226" t="s">
        <v>313</v>
      </c>
      <c r="D92" s="223">
        <f>D77+D91</f>
        <v>54778535</v>
      </c>
      <c r="E92" s="225" t="s">
        <v>314</v>
      </c>
      <c r="F92" s="78" t="s">
        <v>315</v>
      </c>
      <c r="G92" s="79">
        <v>0</v>
      </c>
    </row>
    <row r="93" spans="2:7">
      <c r="C93" s="116"/>
      <c r="D93" s="116"/>
      <c r="E93" s="225" t="s">
        <v>316</v>
      </c>
      <c r="F93" s="78" t="s">
        <v>317</v>
      </c>
      <c r="G93" s="79">
        <v>43773642.957499996</v>
      </c>
    </row>
    <row r="94" spans="2:7">
      <c r="C94" s="116"/>
      <c r="D94" s="116"/>
      <c r="E94" s="225" t="s">
        <v>318</v>
      </c>
      <c r="F94" s="78" t="s">
        <v>319</v>
      </c>
      <c r="G94" s="84">
        <v>3126883</v>
      </c>
    </row>
    <row r="95" spans="2:7" ht="13.5" customHeight="1" thickBot="1">
      <c r="C95" s="116"/>
      <c r="D95" s="116"/>
      <c r="E95" s="138"/>
      <c r="F95" s="85" t="s">
        <v>320</v>
      </c>
      <c r="G95" s="86">
        <f>SUM(G80:G94)</f>
        <v>92786723.394999996</v>
      </c>
    </row>
    <row r="96" spans="2:7">
      <c r="C96" s="116"/>
      <c r="D96" s="116"/>
      <c r="E96" s="225" t="s">
        <v>321</v>
      </c>
      <c r="F96" s="80" t="s">
        <v>322</v>
      </c>
      <c r="G96" s="81">
        <v>30316146</v>
      </c>
    </row>
    <row r="97" spans="2:7">
      <c r="C97" s="116"/>
      <c r="D97" s="116"/>
      <c r="E97" s="225" t="s">
        <v>323</v>
      </c>
      <c r="F97" s="78" t="s">
        <v>324</v>
      </c>
      <c r="G97" s="79">
        <v>0</v>
      </c>
    </row>
    <row r="98" spans="2:7">
      <c r="C98" s="116"/>
      <c r="D98" s="116"/>
      <c r="E98" s="225" t="s">
        <v>325</v>
      </c>
      <c r="F98" s="78" t="s">
        <v>326</v>
      </c>
      <c r="G98" s="79">
        <v>0</v>
      </c>
    </row>
    <row r="99" spans="2:7">
      <c r="C99" s="116"/>
      <c r="D99" s="116"/>
      <c r="E99" s="225" t="s">
        <v>327</v>
      </c>
      <c r="F99" s="78" t="s">
        <v>328</v>
      </c>
      <c r="G99" s="79">
        <v>0</v>
      </c>
    </row>
    <row r="100" spans="2:7">
      <c r="C100" s="116"/>
      <c r="D100" s="116"/>
      <c r="E100" s="225" t="s">
        <v>329</v>
      </c>
      <c r="F100" s="78" t="s">
        <v>330</v>
      </c>
      <c r="G100" s="84">
        <v>1056655</v>
      </c>
    </row>
    <row r="101" spans="2:7" ht="12.75" customHeight="1" thickBot="1">
      <c r="C101" s="116"/>
      <c r="D101" s="116"/>
      <c r="E101" s="138"/>
      <c r="F101" s="85" t="s">
        <v>331</v>
      </c>
      <c r="G101" s="86">
        <f>SUM(G96:G100)</f>
        <v>31372801</v>
      </c>
    </row>
    <row r="102" spans="2:7" ht="12.75" customHeight="1" thickBot="1">
      <c r="C102" s="116"/>
      <c r="D102" s="116"/>
      <c r="E102" s="225"/>
      <c r="F102" s="110" t="s">
        <v>332</v>
      </c>
      <c r="G102" s="111">
        <f>[25]Amortizaciones!D19</f>
        <v>43651666</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1747283531.4650002</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276202198.53499985</v>
      </c>
    </row>
    <row r="110" spans="2:7" ht="6.75" customHeight="1" thickBot="1">
      <c r="B110" s="5"/>
      <c r="C110" s="227"/>
      <c r="D110" s="227"/>
      <c r="E110" s="138"/>
      <c r="F110" s="116"/>
      <c r="G110" s="116"/>
    </row>
    <row r="111" spans="2:7" ht="15" customHeight="1" thickBot="1">
      <c r="C111" s="72" t="s">
        <v>269</v>
      </c>
      <c r="D111" s="118">
        <f>+[25]E.S.P.!D6</f>
        <v>2021</v>
      </c>
      <c r="E111" s="225"/>
      <c r="F111" s="72" t="s">
        <v>340</v>
      </c>
      <c r="G111" s="118">
        <f>+[25]E.S.P.!D6</f>
        <v>2021</v>
      </c>
    </row>
    <row r="112" spans="2:7" ht="13.7" customHeight="1">
      <c r="B112" s="5" t="s">
        <v>341</v>
      </c>
      <c r="C112" s="119" t="s">
        <v>342</v>
      </c>
      <c r="D112" s="120">
        <v>19761525.691898607</v>
      </c>
      <c r="E112" s="138" t="s">
        <v>343</v>
      </c>
      <c r="F112" s="119" t="s">
        <v>308</v>
      </c>
      <c r="G112" s="120">
        <v>0</v>
      </c>
    </row>
    <row r="113" spans="2:7" ht="13.7" customHeight="1">
      <c r="B113" s="5" t="s">
        <v>344</v>
      </c>
      <c r="C113" s="121" t="s">
        <v>345</v>
      </c>
      <c r="D113" s="122">
        <v>68985789.76644133</v>
      </c>
      <c r="E113" s="138" t="s">
        <v>346</v>
      </c>
      <c r="F113" s="121" t="s">
        <v>347</v>
      </c>
      <c r="G113" s="122">
        <v>0</v>
      </c>
    </row>
    <row r="114" spans="2:7" ht="13.7" customHeight="1">
      <c r="B114" s="5" t="s">
        <v>348</v>
      </c>
      <c r="C114" s="121" t="s">
        <v>48</v>
      </c>
      <c r="D114" s="122">
        <v>48131592.131660052</v>
      </c>
      <c r="E114" s="138" t="s">
        <v>349</v>
      </c>
      <c r="F114" s="121" t="s">
        <v>350</v>
      </c>
      <c r="G114" s="122">
        <v>1673125</v>
      </c>
    </row>
    <row r="115" spans="2:7" ht="13.7" customHeight="1">
      <c r="B115" s="5" t="s">
        <v>351</v>
      </c>
      <c r="C115" s="121" t="s">
        <v>352</v>
      </c>
      <c r="D115" s="122">
        <v>0</v>
      </c>
      <c r="E115" s="138" t="s">
        <v>353</v>
      </c>
      <c r="F115" s="121" t="s">
        <v>354</v>
      </c>
      <c r="G115" s="122">
        <v>0</v>
      </c>
    </row>
    <row r="116" spans="2:7" ht="13.7" customHeight="1">
      <c r="B116" s="5" t="s">
        <v>355</v>
      </c>
      <c r="C116" s="121" t="s">
        <v>356</v>
      </c>
      <c r="D116" s="122">
        <v>3728071</v>
      </c>
      <c r="E116" s="138" t="s">
        <v>357</v>
      </c>
      <c r="F116" s="121" t="s">
        <v>358</v>
      </c>
      <c r="G116" s="122">
        <v>0</v>
      </c>
    </row>
    <row r="117" spans="2:7" ht="13.7" customHeight="1">
      <c r="B117" s="5" t="s">
        <v>359</v>
      </c>
      <c r="C117" s="121" t="s">
        <v>360</v>
      </c>
      <c r="D117" s="122">
        <v>2610943.87</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1235855</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5037740.8699593842</v>
      </c>
      <c r="E121" s="138" t="s">
        <v>377</v>
      </c>
      <c r="F121" s="121" t="s">
        <v>378</v>
      </c>
      <c r="G121" s="122">
        <f>20595150-9669788</f>
        <v>10925362</v>
      </c>
    </row>
    <row r="122" spans="2:7" ht="13.7" customHeight="1" thickBot="1">
      <c r="B122" s="5"/>
      <c r="C122" s="85" t="s">
        <v>379</v>
      </c>
      <c r="D122" s="94">
        <f>SUM(D112:D121)</f>
        <v>149491518.32995936</v>
      </c>
      <c r="E122" s="138" t="s">
        <v>380</v>
      </c>
      <c r="F122" s="78" t="s">
        <v>381</v>
      </c>
      <c r="G122" s="79">
        <v>395514</v>
      </c>
    </row>
    <row r="123" spans="2:7" ht="13.7" customHeight="1" thickBot="1">
      <c r="B123" s="5" t="s">
        <v>382</v>
      </c>
      <c r="C123" s="123" t="s">
        <v>308</v>
      </c>
      <c r="D123" s="120">
        <v>31226794.800000001</v>
      </c>
      <c r="E123" s="225"/>
      <c r="F123" s="85" t="s">
        <v>383</v>
      </c>
      <c r="G123" s="94">
        <f>SUM(G112:G122)</f>
        <v>12994001</v>
      </c>
    </row>
    <row r="124" spans="2:7" ht="13.7" customHeight="1">
      <c r="B124" s="5" t="s">
        <v>384</v>
      </c>
      <c r="C124" s="121" t="s">
        <v>312</v>
      </c>
      <c r="D124" s="122">
        <v>0</v>
      </c>
      <c r="E124" s="138" t="s">
        <v>385</v>
      </c>
      <c r="F124" s="121" t="s">
        <v>386</v>
      </c>
      <c r="G124" s="122">
        <v>0</v>
      </c>
    </row>
    <row r="125" spans="2:7" ht="13.7" customHeight="1">
      <c r="B125" s="5" t="s">
        <v>387</v>
      </c>
      <c r="C125" s="78" t="s">
        <v>388</v>
      </c>
      <c r="D125" s="122">
        <v>1080556.1258959994</v>
      </c>
      <c r="E125" s="138" t="s">
        <v>389</v>
      </c>
      <c r="F125" s="121" t="s">
        <v>390</v>
      </c>
      <c r="G125" s="122">
        <v>0</v>
      </c>
    </row>
    <row r="126" spans="2:7" ht="13.7" customHeight="1" thickBot="1">
      <c r="B126" s="5"/>
      <c r="C126" s="85" t="s">
        <v>391</v>
      </c>
      <c r="D126" s="94">
        <f>SUM(D123:D125)</f>
        <v>32307350.925896</v>
      </c>
      <c r="E126" s="138" t="s">
        <v>392</v>
      </c>
      <c r="F126" s="121" t="s">
        <v>393</v>
      </c>
      <c r="G126" s="122">
        <v>0</v>
      </c>
    </row>
    <row r="127" spans="2:7" ht="13.7" customHeight="1">
      <c r="B127" s="5" t="s">
        <v>394</v>
      </c>
      <c r="C127" s="119" t="s">
        <v>273</v>
      </c>
      <c r="D127" s="120">
        <v>2248355.2675000001</v>
      </c>
      <c r="E127" s="138" t="s">
        <v>395</v>
      </c>
      <c r="F127" s="121" t="s">
        <v>396</v>
      </c>
      <c r="G127" s="122">
        <v>0</v>
      </c>
    </row>
    <row r="128" spans="2:7" ht="13.7" customHeight="1">
      <c r="B128" s="5" t="s">
        <v>397</v>
      </c>
      <c r="C128" s="121" t="s">
        <v>398</v>
      </c>
      <c r="D128" s="122">
        <v>1480492.1225000001</v>
      </c>
      <c r="E128" s="138" t="s">
        <v>399</v>
      </c>
      <c r="F128" s="121" t="s">
        <v>400</v>
      </c>
      <c r="G128" s="122">
        <v>0</v>
      </c>
    </row>
    <row r="129" spans="2:7" ht="13.7" customHeight="1">
      <c r="B129" s="5" t="s">
        <v>401</v>
      </c>
      <c r="C129" s="121" t="s">
        <v>276</v>
      </c>
      <c r="D129" s="122">
        <v>3555463.5649999999</v>
      </c>
      <c r="E129" s="138" t="s">
        <v>402</v>
      </c>
      <c r="F129" s="121" t="s">
        <v>403</v>
      </c>
      <c r="G129" s="122">
        <v>0</v>
      </c>
    </row>
    <row r="130" spans="2:7" ht="13.7" customHeight="1">
      <c r="B130" s="5" t="s">
        <v>404</v>
      </c>
      <c r="C130" s="121" t="s">
        <v>282</v>
      </c>
      <c r="D130" s="122">
        <v>1184416.0075000003</v>
      </c>
      <c r="E130" s="138" t="s">
        <v>405</v>
      </c>
      <c r="F130" s="121" t="s">
        <v>406</v>
      </c>
      <c r="G130" s="122">
        <v>0</v>
      </c>
    </row>
    <row r="131" spans="2:7" ht="13.7" customHeight="1">
      <c r="B131" s="5" t="s">
        <v>407</v>
      </c>
      <c r="C131" s="121" t="s">
        <v>286</v>
      </c>
      <c r="D131" s="122">
        <v>2216772.9049999998</v>
      </c>
      <c r="E131" s="138" t="s">
        <v>408</v>
      </c>
      <c r="F131" s="121" t="s">
        <v>409</v>
      </c>
      <c r="G131" s="122">
        <v>0</v>
      </c>
    </row>
    <row r="132" spans="2:7" ht="13.7" customHeight="1">
      <c r="B132" s="5" t="s">
        <v>410</v>
      </c>
      <c r="C132" s="121" t="s">
        <v>290</v>
      </c>
      <c r="D132" s="122">
        <v>1384805.175</v>
      </c>
      <c r="E132" s="138" t="s">
        <v>411</v>
      </c>
      <c r="F132" s="121" t="s">
        <v>412</v>
      </c>
      <c r="G132" s="122">
        <v>0</v>
      </c>
    </row>
    <row r="133" spans="2:7" ht="13.7" customHeight="1">
      <c r="B133" s="5" t="s">
        <v>413</v>
      </c>
      <c r="C133" s="121" t="s">
        <v>294</v>
      </c>
      <c r="D133" s="122">
        <v>27571.514999999999</v>
      </c>
      <c r="E133" s="138" t="s">
        <v>414</v>
      </c>
      <c r="F133" s="121" t="s">
        <v>415</v>
      </c>
      <c r="G133" s="122">
        <v>0</v>
      </c>
    </row>
    <row r="134" spans="2:7" ht="13.7" customHeight="1">
      <c r="B134" s="5" t="s">
        <v>416</v>
      </c>
      <c r="C134" s="121" t="s">
        <v>417</v>
      </c>
      <c r="D134" s="122">
        <v>8536106.2200000007</v>
      </c>
      <c r="E134" s="138" t="s">
        <v>418</v>
      </c>
      <c r="F134" s="121" t="s">
        <v>419</v>
      </c>
      <c r="G134" s="122">
        <v>3289502</v>
      </c>
    </row>
    <row r="135" spans="2:7" ht="13.7" customHeight="1">
      <c r="B135" s="5" t="s">
        <v>420</v>
      </c>
      <c r="C135" s="121" t="s">
        <v>421</v>
      </c>
      <c r="D135" s="122">
        <v>0</v>
      </c>
      <c r="E135" s="138" t="s">
        <v>422</v>
      </c>
      <c r="F135" s="121" t="s">
        <v>423</v>
      </c>
      <c r="G135" s="122">
        <v>0</v>
      </c>
    </row>
    <row r="136" spans="2:7" ht="13.7" customHeight="1">
      <c r="B136" s="5" t="s">
        <v>424</v>
      </c>
      <c r="C136" s="121" t="s">
        <v>317</v>
      </c>
      <c r="D136" s="122">
        <v>28746724.797499999</v>
      </c>
      <c r="E136" s="138" t="s">
        <v>425</v>
      </c>
      <c r="F136" s="121" t="s">
        <v>426</v>
      </c>
      <c r="G136" s="122">
        <v>0</v>
      </c>
    </row>
    <row r="137" spans="2:7" ht="13.7" customHeight="1">
      <c r="B137" s="5" t="s">
        <v>427</v>
      </c>
      <c r="C137" s="78" t="s">
        <v>319</v>
      </c>
      <c r="D137" s="124">
        <v>1610523.926366739</v>
      </c>
      <c r="E137" s="138" t="s">
        <v>428</v>
      </c>
      <c r="F137" s="121" t="s">
        <v>429</v>
      </c>
      <c r="G137" s="122">
        <v>19393951</v>
      </c>
    </row>
    <row r="138" spans="2:7" ht="13.7" customHeight="1" thickBot="1">
      <c r="B138" s="5"/>
      <c r="C138" s="85" t="s">
        <v>320</v>
      </c>
      <c r="D138" s="94">
        <f>SUM(D127:D137)</f>
        <v>50991231.501366742</v>
      </c>
      <c r="E138" s="138" t="s">
        <v>430</v>
      </c>
      <c r="F138" s="78" t="s">
        <v>431</v>
      </c>
      <c r="G138" s="79">
        <v>401994</v>
      </c>
    </row>
    <row r="139" spans="2:7" ht="13.7" customHeight="1" thickBot="1">
      <c r="B139" s="5" t="s">
        <v>432</v>
      </c>
      <c r="C139" s="119" t="s">
        <v>326</v>
      </c>
      <c r="D139" s="120">
        <v>0</v>
      </c>
      <c r="E139" s="228"/>
      <c r="F139" s="85" t="s">
        <v>433</v>
      </c>
      <c r="G139" s="94">
        <f>SUM(G124:G138)</f>
        <v>23085447</v>
      </c>
    </row>
    <row r="140" spans="2:7" ht="13.7" customHeight="1" thickBot="1">
      <c r="B140" s="5" t="s">
        <v>434</v>
      </c>
      <c r="C140" s="121" t="s">
        <v>328</v>
      </c>
      <c r="D140" s="122">
        <v>10105381.9475</v>
      </c>
      <c r="E140" s="228"/>
      <c r="F140" s="110" t="s">
        <v>435</v>
      </c>
      <c r="G140" s="126">
        <f>G123-G139</f>
        <v>-10091446</v>
      </c>
    </row>
    <row r="141" spans="2:7" ht="13.7" customHeight="1">
      <c r="B141" s="5" t="s">
        <v>436</v>
      </c>
      <c r="C141" s="78" t="s">
        <v>330</v>
      </c>
      <c r="D141" s="124">
        <v>352218.1762505006</v>
      </c>
      <c r="E141" s="229"/>
      <c r="F141" s="116"/>
      <c r="G141" s="116"/>
    </row>
    <row r="142" spans="2:7" ht="13.7" customHeight="1" thickBot="1">
      <c r="B142" s="5"/>
      <c r="C142" s="85" t="s">
        <v>331</v>
      </c>
      <c r="D142" s="94">
        <f>SUM(D139:D141)</f>
        <v>10457600.1237505</v>
      </c>
      <c r="E142" s="229"/>
      <c r="F142" s="116"/>
      <c r="G142" s="116"/>
    </row>
    <row r="143" spans="2:7" ht="13.5" customHeight="1" thickBot="1">
      <c r="B143" s="5"/>
      <c r="C143" s="110" t="s">
        <v>332</v>
      </c>
      <c r="D143" s="126">
        <f>[25]Amortizaciones!D33</f>
        <v>11126869</v>
      </c>
      <c r="E143" s="138"/>
      <c r="F143" s="72" t="s">
        <v>437</v>
      </c>
      <c r="G143" s="118">
        <f>+[25]E.S.P.!D6</f>
        <v>2021</v>
      </c>
    </row>
    <row r="144" spans="2:7" ht="13.7" customHeight="1">
      <c r="B144" s="5" t="s">
        <v>438</v>
      </c>
      <c r="C144" s="119" t="s">
        <v>439</v>
      </c>
      <c r="D144" s="120">
        <v>0</v>
      </c>
      <c r="E144" s="138" t="s">
        <v>440</v>
      </c>
      <c r="F144" s="119" t="s">
        <v>441</v>
      </c>
      <c r="G144" s="120">
        <v>4420449.926</v>
      </c>
    </row>
    <row r="145" spans="2:7" ht="13.7" customHeight="1">
      <c r="B145" s="5" t="s">
        <v>442</v>
      </c>
      <c r="C145" s="121" t="s">
        <v>443</v>
      </c>
      <c r="D145" s="122">
        <v>0</v>
      </c>
      <c r="E145" s="138" t="s">
        <v>444</v>
      </c>
      <c r="F145" s="121" t="s">
        <v>445</v>
      </c>
      <c r="G145" s="122">
        <v>11643493.659999996</v>
      </c>
    </row>
    <row r="146" spans="2:7" ht="13.7" customHeight="1">
      <c r="B146" s="5" t="s">
        <v>446</v>
      </c>
      <c r="C146" s="128" t="s">
        <v>447</v>
      </c>
      <c r="D146" s="122">
        <v>0</v>
      </c>
      <c r="E146" s="138" t="s">
        <v>448</v>
      </c>
      <c r="F146" s="121" t="s">
        <v>449</v>
      </c>
      <c r="G146" s="122">
        <v>3523223.61</v>
      </c>
    </row>
    <row r="147" spans="2:7" ht="13.7" customHeight="1">
      <c r="B147" s="5" t="s">
        <v>450</v>
      </c>
      <c r="C147" s="78" t="s">
        <v>451</v>
      </c>
      <c r="D147" s="124">
        <v>0</v>
      </c>
      <c r="E147" s="138" t="s">
        <v>452</v>
      </c>
      <c r="F147" s="121" t="s">
        <v>453</v>
      </c>
      <c r="G147" s="122">
        <v>0</v>
      </c>
    </row>
    <row r="148" spans="2:7" ht="13.7" customHeight="1" thickBot="1">
      <c r="B148" s="5"/>
      <c r="C148" s="85" t="s">
        <v>518</v>
      </c>
      <c r="D148" s="94">
        <f>SUM(D144:D147)</f>
        <v>0</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2230909</v>
      </c>
    </row>
    <row r="152" spans="2:7" ht="13.7" customHeight="1" thickBot="1">
      <c r="B152" s="5"/>
      <c r="C152" s="85" t="s">
        <v>516</v>
      </c>
      <c r="D152" s="94">
        <f>SUM(D149:D151)</f>
        <v>0</v>
      </c>
      <c r="E152" s="138" t="s">
        <v>469</v>
      </c>
      <c r="F152" s="121" t="s">
        <v>470</v>
      </c>
      <c r="G152" s="122"/>
    </row>
    <row r="153" spans="2:7" ht="15" customHeight="1" thickBot="1">
      <c r="B153" s="5"/>
      <c r="C153" s="110" t="s">
        <v>471</v>
      </c>
      <c r="D153" s="129">
        <f>D122+D126+D138+D142+D143+D148+D152</f>
        <v>254374569.88097259</v>
      </c>
      <c r="E153" s="138" t="s">
        <v>472</v>
      </c>
      <c r="F153" s="78" t="s">
        <v>473</v>
      </c>
      <c r="G153" s="79">
        <v>163358</v>
      </c>
    </row>
    <row r="154" spans="2:7" ht="13.7" customHeight="1" thickBot="1">
      <c r="B154" s="5"/>
      <c r="C154" s="116"/>
      <c r="D154" s="116"/>
      <c r="E154" s="138"/>
      <c r="F154" s="85" t="s">
        <v>474</v>
      </c>
      <c r="G154" s="94">
        <f>SUM(G144:G153)</f>
        <v>21981434.195999995</v>
      </c>
    </row>
    <row r="155" spans="2:7" ht="13.5" customHeight="1" thickBot="1">
      <c r="B155" s="5"/>
      <c r="C155" s="72" t="s">
        <v>475</v>
      </c>
      <c r="D155" s="103">
        <f>G109-D153</f>
        <v>21827628.654027253</v>
      </c>
      <c r="E155" s="138" t="s">
        <v>476</v>
      </c>
      <c r="F155" s="119" t="s">
        <v>477</v>
      </c>
      <c r="G155" s="120">
        <v>7044400.8399999999</v>
      </c>
    </row>
    <row r="156" spans="2:7" ht="13.7" customHeight="1">
      <c r="C156" s="116"/>
      <c r="D156" s="116"/>
      <c r="E156" s="138" t="s">
        <v>478</v>
      </c>
      <c r="F156" s="121" t="s">
        <v>479</v>
      </c>
      <c r="G156" s="122">
        <v>15016257</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134766</v>
      </c>
    </row>
    <row r="165" spans="3:7" ht="13.7" customHeight="1">
      <c r="C165" s="116"/>
      <c r="D165" s="116"/>
      <c r="E165" s="138" t="s">
        <v>496</v>
      </c>
      <c r="F165" s="121" t="s">
        <v>497</v>
      </c>
      <c r="G165" s="122">
        <v>0</v>
      </c>
    </row>
    <row r="166" spans="3:7" ht="13.7" customHeight="1">
      <c r="C166" s="116"/>
      <c r="D166" s="116"/>
      <c r="E166" s="138" t="s">
        <v>498</v>
      </c>
      <c r="F166" s="121" t="s">
        <v>499</v>
      </c>
      <c r="G166" s="122">
        <v>5791545</v>
      </c>
    </row>
    <row r="167" spans="3:7" ht="13.7" customHeight="1">
      <c r="C167" s="116"/>
      <c r="D167" s="116"/>
      <c r="E167" s="138" t="s">
        <v>500</v>
      </c>
      <c r="F167" s="78" t="s">
        <v>501</v>
      </c>
      <c r="G167" s="79">
        <v>416159</v>
      </c>
    </row>
    <row r="168" spans="3:7" ht="13.7" customHeight="1" thickBot="1">
      <c r="C168" s="116"/>
      <c r="D168" s="116"/>
      <c r="E168" s="138"/>
      <c r="F168" s="85" t="s">
        <v>502</v>
      </c>
      <c r="G168" s="94">
        <f>SUM(G155:G167)</f>
        <v>28403127.84</v>
      </c>
    </row>
    <row r="169" spans="3:7" ht="13.7" customHeight="1" thickBot="1">
      <c r="C169" s="116"/>
      <c r="D169" s="116"/>
      <c r="E169" s="138"/>
      <c r="F169" s="110" t="s">
        <v>503</v>
      </c>
      <c r="G169" s="126">
        <f>G154-G168</f>
        <v>-6421693.644000005</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5314489.0100272484</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5314489.0100272484</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234" priority="3" stopIfTrue="1" operator="greaterThan">
      <formula>50</formula>
    </cfRule>
    <cfRule type="cellIs" dxfId="233" priority="12" stopIfTrue="1" operator="equal">
      <formula>0</formula>
    </cfRule>
  </conditionalFormatting>
  <conditionalFormatting sqref="D7:D61">
    <cfRule type="cellIs" dxfId="232" priority="10" stopIfTrue="1" operator="between">
      <formula>-0.1</formula>
      <formula>-50</formula>
    </cfRule>
    <cfRule type="cellIs" dxfId="231" priority="11" stopIfTrue="1" operator="between">
      <formula>0.1</formula>
      <formula>50</formula>
    </cfRule>
  </conditionalFormatting>
  <conditionalFormatting sqref="G152:G181 G146:G150 G7:G144">
    <cfRule type="cellIs" dxfId="230" priority="8" stopIfTrue="1" operator="between">
      <formula>-0.1</formula>
      <formula>-50</formula>
    </cfRule>
    <cfRule type="cellIs" dxfId="229" priority="9" stopIfTrue="1" operator="between">
      <formula>0.1</formula>
      <formula>50</formula>
    </cfRule>
  </conditionalFormatting>
  <conditionalFormatting sqref="D111:D155">
    <cfRule type="cellIs" dxfId="228" priority="6" stopIfTrue="1" operator="between">
      <formula>-0.1</formula>
      <formula>-50</formula>
    </cfRule>
    <cfRule type="cellIs" dxfId="227" priority="7" stopIfTrue="1" operator="between">
      <formula>0.1</formula>
      <formula>50</formula>
    </cfRule>
  </conditionalFormatting>
  <conditionalFormatting sqref="G165">
    <cfRule type="expression" dxfId="226" priority="5" stopIfTrue="1">
      <formula>AND($G$165&gt;0,$G$151&gt;0)</formula>
    </cfRule>
  </conditionalFormatting>
  <conditionalFormatting sqref="G151">
    <cfRule type="expression" dxfId="225" priority="2" stopIfTrue="1">
      <formula>AND($G$151&gt;0,$G$165&gt;0)</formula>
    </cfRule>
  </conditionalFormatting>
  <conditionalFormatting sqref="G145">
    <cfRule type="expression" dxfId="22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21 D50" unlockedFormula="1"/>
    <ignoredError sqref="G4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2" sqref="C172"/>
    </sheetView>
  </sheetViews>
  <sheetFormatPr baseColWidth="10" defaultColWidth="0" defaultRowHeight="15.75" zeroHeight="1"/>
  <cols>
    <col min="1" max="1" width="3" style="1" customWidth="1"/>
    <col min="2" max="2" width="14.28515625" style="6" hidden="1" customWidth="1"/>
    <col min="3" max="3" width="56.7109375" style="19" customWidth="1"/>
    <col min="4" max="4" width="21" style="19" customWidth="1"/>
    <col min="5" max="5" width="3.85546875" style="13" customWidth="1"/>
    <col min="6" max="6" width="57.28515625" style="19" customWidth="1"/>
    <col min="7" max="7" width="21" style="19" customWidth="1"/>
    <col min="8" max="8" width="3.5703125" style="4" customWidth="1"/>
    <col min="9" max="16384" width="0" style="4" hidden="1"/>
  </cols>
  <sheetData>
    <row r="1" spans="1:9">
      <c r="B1" s="2"/>
      <c r="C1" s="255" t="s">
        <v>0</v>
      </c>
      <c r="D1" s="258"/>
      <c r="E1" s="253" t="str">
        <f>[26]Presentacion!C3</f>
        <v>COMEPA - IAMPP</v>
      </c>
      <c r="F1" s="253"/>
      <c r="G1" s="136"/>
      <c r="H1" s="3"/>
    </row>
    <row r="2" spans="1:9">
      <c r="B2" s="5"/>
      <c r="C2" s="255" t="s">
        <v>1</v>
      </c>
      <c r="D2" s="258"/>
      <c r="E2" s="253" t="str">
        <f>[26]Presentacion!C4</f>
        <v>Paysandu</v>
      </c>
      <c r="F2" s="253"/>
      <c r="G2" s="136"/>
      <c r="H2" s="3"/>
    </row>
    <row r="3" spans="1:9">
      <c r="B3" s="5"/>
      <c r="C3" s="255" t="s">
        <v>2</v>
      </c>
      <c r="D3" s="255"/>
      <c r="E3" s="254" t="s">
        <v>3</v>
      </c>
      <c r="F3" s="254"/>
      <c r="G3" s="136"/>
      <c r="H3" s="3"/>
    </row>
    <row r="4" spans="1:9" ht="12.75" customHeight="1" thickBot="1">
      <c r="C4" s="65"/>
      <c r="D4" s="7"/>
      <c r="E4" s="8"/>
      <c r="F4" s="9"/>
      <c r="G4" s="10"/>
    </row>
    <row r="5" spans="1:9" ht="18" customHeight="1" thickBot="1">
      <c r="B5" s="11"/>
      <c r="C5" s="72" t="s">
        <v>4</v>
      </c>
      <c r="D5" s="73" t="s">
        <v>5</v>
      </c>
      <c r="E5" s="137"/>
      <c r="F5" s="72" t="s">
        <v>6</v>
      </c>
      <c r="G5" s="73" t="s">
        <v>5</v>
      </c>
      <c r="I5" s="12"/>
    </row>
    <row r="6" spans="1:9" ht="12.75" customHeight="1" thickBot="1">
      <c r="B6" s="11"/>
      <c r="C6" s="75" t="s">
        <v>7</v>
      </c>
      <c r="D6" s="76">
        <f>+[26]E.S.P.!D6</f>
        <v>2021</v>
      </c>
      <c r="E6" s="138"/>
      <c r="F6" s="75" t="s">
        <v>8</v>
      </c>
      <c r="G6" s="76">
        <f>+D6</f>
        <v>2021</v>
      </c>
      <c r="H6" s="12"/>
    </row>
    <row r="7" spans="1:9">
      <c r="B7" s="5" t="s">
        <v>9</v>
      </c>
      <c r="C7" s="78" t="s">
        <v>10</v>
      </c>
      <c r="D7" s="79">
        <v>43678237</v>
      </c>
      <c r="E7" s="138" t="s">
        <v>11</v>
      </c>
      <c r="F7" s="80" t="s">
        <v>12</v>
      </c>
      <c r="G7" s="81">
        <v>13864181</v>
      </c>
    </row>
    <row r="8" spans="1:9">
      <c r="B8" s="5" t="s">
        <v>13</v>
      </c>
      <c r="C8" s="78" t="s">
        <v>14</v>
      </c>
      <c r="D8" s="79">
        <v>54711086</v>
      </c>
      <c r="E8" s="138" t="s">
        <v>15</v>
      </c>
      <c r="F8" s="78" t="s">
        <v>16</v>
      </c>
      <c r="G8" s="82">
        <v>229791469</v>
      </c>
    </row>
    <row r="9" spans="1:9">
      <c r="B9" s="5" t="s">
        <v>17</v>
      </c>
      <c r="C9" s="78" t="s">
        <v>18</v>
      </c>
      <c r="D9" s="79">
        <v>1954409956</v>
      </c>
      <c r="E9" s="138" t="s">
        <v>19</v>
      </c>
      <c r="F9" s="78" t="s">
        <v>20</v>
      </c>
      <c r="G9" s="79">
        <v>7148054</v>
      </c>
    </row>
    <row r="10" spans="1:9">
      <c r="B10" s="5" t="s">
        <v>21</v>
      </c>
      <c r="C10" s="78" t="s">
        <v>22</v>
      </c>
      <c r="D10" s="79">
        <v>205623169</v>
      </c>
      <c r="E10" s="138" t="s">
        <v>23</v>
      </c>
      <c r="F10" s="78" t="s">
        <v>24</v>
      </c>
      <c r="G10" s="79">
        <v>597580982</v>
      </c>
    </row>
    <row r="11" spans="1:9">
      <c r="B11" s="5" t="s">
        <v>25</v>
      </c>
      <c r="C11" s="78" t="s">
        <v>26</v>
      </c>
      <c r="D11" s="79">
        <v>44865114</v>
      </c>
      <c r="E11" s="138" t="s">
        <v>27</v>
      </c>
      <c r="F11" s="78" t="s">
        <v>28</v>
      </c>
      <c r="G11" s="79">
        <v>15788482</v>
      </c>
    </row>
    <row r="12" spans="1:9">
      <c r="B12" s="5" t="s">
        <v>29</v>
      </c>
      <c r="C12" s="78" t="s">
        <v>30</v>
      </c>
      <c r="D12" s="79">
        <v>38574386</v>
      </c>
      <c r="E12" s="138" t="s">
        <v>31</v>
      </c>
      <c r="F12" s="78" t="s">
        <v>32</v>
      </c>
      <c r="G12" s="79">
        <v>118703231</v>
      </c>
    </row>
    <row r="13" spans="1:9">
      <c r="B13" s="5" t="s">
        <v>33</v>
      </c>
      <c r="C13" s="78" t="s">
        <v>34</v>
      </c>
      <c r="D13" s="79">
        <v>35792406</v>
      </c>
      <c r="E13" s="138" t="s">
        <v>35</v>
      </c>
      <c r="F13" s="78" t="s">
        <v>36</v>
      </c>
      <c r="G13" s="79">
        <v>13744828</v>
      </c>
    </row>
    <row r="14" spans="1:9">
      <c r="A14" s="14"/>
      <c r="B14" s="5" t="s">
        <v>37</v>
      </c>
      <c r="C14" s="78" t="s">
        <v>38</v>
      </c>
      <c r="D14" s="79">
        <v>0</v>
      </c>
      <c r="E14" s="138" t="s">
        <v>39</v>
      </c>
      <c r="F14" s="78" t="s">
        <v>40</v>
      </c>
      <c r="G14" s="79">
        <v>383078719</v>
      </c>
    </row>
    <row r="15" spans="1:9">
      <c r="B15" s="5" t="s">
        <v>41</v>
      </c>
      <c r="C15" s="83" t="s">
        <v>42</v>
      </c>
      <c r="D15" s="79">
        <v>0</v>
      </c>
      <c r="E15" s="138" t="s">
        <v>43</v>
      </c>
      <c r="F15" s="78" t="s">
        <v>44</v>
      </c>
      <c r="G15" s="79">
        <v>188244490</v>
      </c>
    </row>
    <row r="16" spans="1:9">
      <c r="B16" s="5" t="s">
        <v>45</v>
      </c>
      <c r="C16" s="78" t="s">
        <v>46</v>
      </c>
      <c r="D16" s="79">
        <v>0</v>
      </c>
      <c r="E16" s="138" t="s">
        <v>47</v>
      </c>
      <c r="F16" s="78" t="s">
        <v>48</v>
      </c>
      <c r="G16" s="79">
        <v>154333981</v>
      </c>
    </row>
    <row r="17" spans="1:7">
      <c r="B17" s="5" t="s">
        <v>49</v>
      </c>
      <c r="C17" s="78" t="s">
        <v>50</v>
      </c>
      <c r="D17" s="79">
        <v>0</v>
      </c>
      <c r="E17" s="138" t="s">
        <v>51</v>
      </c>
      <c r="F17" s="78" t="s">
        <v>52</v>
      </c>
      <c r="G17" s="79">
        <v>0</v>
      </c>
    </row>
    <row r="18" spans="1:7">
      <c r="A18" s="14"/>
      <c r="B18" s="5" t="s">
        <v>53</v>
      </c>
      <c r="C18" s="78" t="s">
        <v>54</v>
      </c>
      <c r="D18" s="79">
        <v>5812016</v>
      </c>
      <c r="E18" s="138" t="s">
        <v>55</v>
      </c>
      <c r="F18" s="78" t="s">
        <v>56</v>
      </c>
      <c r="G18" s="84">
        <v>64133001</v>
      </c>
    </row>
    <row r="19" spans="1:7" ht="16.5" thickBot="1">
      <c r="A19" s="14"/>
      <c r="B19" s="5" t="s">
        <v>57</v>
      </c>
      <c r="C19" s="78" t="s">
        <v>58</v>
      </c>
      <c r="D19" s="79">
        <v>88753856</v>
      </c>
      <c r="E19" s="138"/>
      <c r="F19" s="85" t="s">
        <v>59</v>
      </c>
      <c r="G19" s="86">
        <f>SUM(G7:G18)</f>
        <v>1786411418</v>
      </c>
    </row>
    <row r="20" spans="1:7" ht="16.5" thickBot="1">
      <c r="B20" s="5"/>
      <c r="C20" s="85" t="s">
        <v>60</v>
      </c>
      <c r="D20" s="86">
        <f>SUM(D7:D19)</f>
        <v>2472220226</v>
      </c>
      <c r="E20" s="138" t="s">
        <v>61</v>
      </c>
      <c r="F20" s="80" t="s">
        <v>62</v>
      </c>
      <c r="G20" s="81">
        <v>1035347</v>
      </c>
    </row>
    <row r="21" spans="1:7">
      <c r="B21" s="5"/>
      <c r="C21" s="87" t="s">
        <v>63</v>
      </c>
      <c r="D21" s="88">
        <f>SUM(D22:D28)</f>
        <v>24004190</v>
      </c>
      <c r="E21" s="138" t="s">
        <v>64</v>
      </c>
      <c r="F21" s="78" t="s">
        <v>65</v>
      </c>
      <c r="G21" s="79">
        <v>57548556</v>
      </c>
    </row>
    <row r="22" spans="1:7">
      <c r="B22" s="5" t="s">
        <v>66</v>
      </c>
      <c r="C22" s="78" t="s">
        <v>67</v>
      </c>
      <c r="D22" s="79">
        <v>13173131</v>
      </c>
      <c r="E22" s="138" t="s">
        <v>68</v>
      </c>
      <c r="F22" s="78" t="s">
        <v>69</v>
      </c>
      <c r="G22" s="79">
        <v>6144437</v>
      </c>
    </row>
    <row r="23" spans="1:7">
      <c r="B23" s="5" t="s">
        <v>70</v>
      </c>
      <c r="C23" s="78" t="s">
        <v>71</v>
      </c>
      <c r="D23" s="79">
        <v>3483090</v>
      </c>
      <c r="E23" s="138" t="s">
        <v>72</v>
      </c>
      <c r="F23" s="78" t="s">
        <v>73</v>
      </c>
      <c r="G23" s="79">
        <v>33481739</v>
      </c>
    </row>
    <row r="24" spans="1:7">
      <c r="B24" s="5" t="s">
        <v>74</v>
      </c>
      <c r="C24" s="78" t="s">
        <v>75</v>
      </c>
      <c r="D24" s="79">
        <v>5653092</v>
      </c>
      <c r="E24" s="138" t="s">
        <v>76</v>
      </c>
      <c r="F24" s="78" t="s">
        <v>77</v>
      </c>
      <c r="G24" s="79">
        <v>1184291</v>
      </c>
    </row>
    <row r="25" spans="1:7">
      <c r="B25" s="5" t="s">
        <v>78</v>
      </c>
      <c r="C25" s="78" t="s">
        <v>79</v>
      </c>
      <c r="D25" s="79">
        <v>0</v>
      </c>
      <c r="E25" s="138" t="s">
        <v>80</v>
      </c>
      <c r="F25" s="78" t="s">
        <v>81</v>
      </c>
      <c r="G25" s="79">
        <v>8990274</v>
      </c>
    </row>
    <row r="26" spans="1:7">
      <c r="B26" s="5" t="s">
        <v>82</v>
      </c>
      <c r="C26" s="78" t="s">
        <v>83</v>
      </c>
      <c r="D26" s="79">
        <v>833116</v>
      </c>
      <c r="E26" s="138" t="s">
        <v>84</v>
      </c>
      <c r="F26" s="78" t="s">
        <v>85</v>
      </c>
      <c r="G26" s="84">
        <v>4035951</v>
      </c>
    </row>
    <row r="27" spans="1:7" ht="13.5" customHeight="1" thickBot="1">
      <c r="B27" s="5" t="s">
        <v>86</v>
      </c>
      <c r="C27" s="78" t="s">
        <v>87</v>
      </c>
      <c r="D27" s="79">
        <v>0</v>
      </c>
      <c r="E27" s="138"/>
      <c r="F27" s="85" t="s">
        <v>88</v>
      </c>
      <c r="G27" s="86">
        <f>SUM(G20:G26)</f>
        <v>112420595</v>
      </c>
    </row>
    <row r="28" spans="1:7">
      <c r="B28" s="5" t="s">
        <v>89</v>
      </c>
      <c r="C28" s="78" t="s">
        <v>90</v>
      </c>
      <c r="D28" s="79">
        <v>861761</v>
      </c>
      <c r="E28" s="138" t="s">
        <v>91</v>
      </c>
      <c r="F28" s="80" t="s">
        <v>92</v>
      </c>
      <c r="G28" s="81">
        <v>60655771</v>
      </c>
    </row>
    <row r="29" spans="1:7">
      <c r="B29" s="5"/>
      <c r="C29" s="89" t="s">
        <v>93</v>
      </c>
      <c r="D29" s="88">
        <f>SUM(D30:D34)</f>
        <v>199764200</v>
      </c>
      <c r="E29" s="138" t="s">
        <v>94</v>
      </c>
      <c r="F29" s="78" t="s">
        <v>95</v>
      </c>
      <c r="G29" s="79">
        <v>94399900</v>
      </c>
    </row>
    <row r="30" spans="1:7">
      <c r="B30" s="5" t="s">
        <v>96</v>
      </c>
      <c r="C30" s="78" t="s">
        <v>97</v>
      </c>
      <c r="D30" s="79">
        <v>166944701</v>
      </c>
      <c r="E30" s="138" t="s">
        <v>98</v>
      </c>
      <c r="F30" s="78" t="s">
        <v>99</v>
      </c>
      <c r="G30" s="79">
        <v>3388190</v>
      </c>
    </row>
    <row r="31" spans="1:7">
      <c r="B31" s="5" t="s">
        <v>100</v>
      </c>
      <c r="C31" s="78" t="s">
        <v>101</v>
      </c>
      <c r="D31" s="79">
        <v>12072078</v>
      </c>
      <c r="E31" s="138" t="s">
        <v>102</v>
      </c>
      <c r="F31" s="78" t="s">
        <v>103</v>
      </c>
      <c r="G31" s="84">
        <v>5900023</v>
      </c>
    </row>
    <row r="32" spans="1:7" ht="16.5" thickBot="1">
      <c r="B32" s="5" t="s">
        <v>104</v>
      </c>
      <c r="C32" s="78" t="s">
        <v>105</v>
      </c>
      <c r="D32" s="79">
        <v>10581399</v>
      </c>
      <c r="E32" s="138"/>
      <c r="F32" s="85" t="s">
        <v>106</v>
      </c>
      <c r="G32" s="86">
        <f>SUM(G28:G31)</f>
        <v>164343884</v>
      </c>
    </row>
    <row r="33" spans="2:7">
      <c r="B33" s="5" t="s">
        <v>107</v>
      </c>
      <c r="C33" s="78" t="s">
        <v>108</v>
      </c>
      <c r="D33" s="79">
        <v>2994394</v>
      </c>
      <c r="E33" s="138"/>
      <c r="F33" s="89" t="s">
        <v>109</v>
      </c>
      <c r="G33" s="88">
        <f>SUM(G34:G39)</f>
        <v>190249232</v>
      </c>
    </row>
    <row r="34" spans="2:7">
      <c r="B34" s="5" t="s">
        <v>110</v>
      </c>
      <c r="C34" s="78" t="s">
        <v>111</v>
      </c>
      <c r="D34" s="79">
        <v>7171628</v>
      </c>
      <c r="E34" s="138" t="s">
        <v>112</v>
      </c>
      <c r="F34" s="78" t="s">
        <v>113</v>
      </c>
      <c r="G34" s="79">
        <v>19420931</v>
      </c>
    </row>
    <row r="35" spans="2:7" ht="16.5" thickBot="1">
      <c r="B35" s="5"/>
      <c r="C35" s="85" t="s">
        <v>114</v>
      </c>
      <c r="D35" s="86">
        <f>+D21+D29</f>
        <v>223768390</v>
      </c>
      <c r="E35" s="138" t="s">
        <v>115</v>
      </c>
      <c r="F35" s="78" t="s">
        <v>116</v>
      </c>
      <c r="G35" s="79">
        <v>2833107</v>
      </c>
    </row>
    <row r="36" spans="2:7">
      <c r="B36" s="5" t="s">
        <v>117</v>
      </c>
      <c r="C36" s="78" t="s">
        <v>118</v>
      </c>
      <c r="D36" s="79">
        <v>6577066</v>
      </c>
      <c r="E36" s="138" t="s">
        <v>119</v>
      </c>
      <c r="F36" s="78" t="s">
        <v>517</v>
      </c>
      <c r="G36" s="79">
        <v>3181219</v>
      </c>
    </row>
    <row r="37" spans="2:7">
      <c r="B37" s="5" t="s">
        <v>120</v>
      </c>
      <c r="C37" s="78" t="s">
        <v>121</v>
      </c>
      <c r="D37" s="79">
        <v>20787170</v>
      </c>
      <c r="E37" s="138" t="s">
        <v>122</v>
      </c>
      <c r="F37" s="78" t="s">
        <v>123</v>
      </c>
      <c r="G37" s="79">
        <v>11454979</v>
      </c>
    </row>
    <row r="38" spans="2:7">
      <c r="B38" s="5" t="s">
        <v>124</v>
      </c>
      <c r="C38" s="78" t="s">
        <v>125</v>
      </c>
      <c r="D38" s="79">
        <v>4299073</v>
      </c>
      <c r="E38" s="138" t="s">
        <v>126</v>
      </c>
      <c r="F38" s="78" t="s">
        <v>127</v>
      </c>
      <c r="G38" s="79">
        <v>19313697</v>
      </c>
    </row>
    <row r="39" spans="2:7">
      <c r="B39" s="5" t="s">
        <v>128</v>
      </c>
      <c r="C39" s="78" t="s">
        <v>129</v>
      </c>
      <c r="D39" s="79">
        <v>39590448</v>
      </c>
      <c r="E39" s="138" t="s">
        <v>130</v>
      </c>
      <c r="F39" s="78" t="s">
        <v>131</v>
      </c>
      <c r="G39" s="79">
        <v>134045299</v>
      </c>
    </row>
    <row r="40" spans="2:7">
      <c r="B40" s="5" t="s">
        <v>132</v>
      </c>
      <c r="C40" s="78" t="s">
        <v>133</v>
      </c>
      <c r="D40" s="79">
        <v>74147973</v>
      </c>
      <c r="E40" s="138"/>
      <c r="F40" s="90" t="s">
        <v>134</v>
      </c>
      <c r="G40" s="91">
        <f>SUM(G41:G46)</f>
        <v>42122680</v>
      </c>
    </row>
    <row r="41" spans="2:7">
      <c r="B41" s="5" t="s">
        <v>135</v>
      </c>
      <c r="C41" s="78" t="s">
        <v>136</v>
      </c>
      <c r="D41" s="79">
        <v>101992598</v>
      </c>
      <c r="E41" s="138" t="s">
        <v>137</v>
      </c>
      <c r="F41" s="78" t="s">
        <v>138</v>
      </c>
      <c r="G41" s="79">
        <v>2286211</v>
      </c>
    </row>
    <row r="42" spans="2:7">
      <c r="B42" s="5" t="s">
        <v>139</v>
      </c>
      <c r="C42" s="78" t="s">
        <v>140</v>
      </c>
      <c r="D42" s="79">
        <v>76637982</v>
      </c>
      <c r="E42" s="138" t="s">
        <v>141</v>
      </c>
      <c r="F42" s="78" t="s">
        <v>142</v>
      </c>
      <c r="G42" s="79">
        <v>26064</v>
      </c>
    </row>
    <row r="43" spans="2:7">
      <c r="B43" s="5" t="s">
        <v>143</v>
      </c>
      <c r="C43" s="78" t="s">
        <v>144</v>
      </c>
      <c r="D43" s="79">
        <v>0</v>
      </c>
      <c r="E43" s="138" t="s">
        <v>145</v>
      </c>
      <c r="F43" s="78" t="s">
        <v>146</v>
      </c>
      <c r="G43" s="79">
        <v>3387330</v>
      </c>
    </row>
    <row r="44" spans="2:7">
      <c r="B44" s="5" t="s">
        <v>147</v>
      </c>
      <c r="C44" s="78" t="s">
        <v>148</v>
      </c>
      <c r="D44" s="79">
        <v>49422</v>
      </c>
      <c r="E44" s="138" t="s">
        <v>149</v>
      </c>
      <c r="F44" s="78" t="s">
        <v>150</v>
      </c>
      <c r="G44" s="79">
        <v>3375781</v>
      </c>
    </row>
    <row r="45" spans="2:7">
      <c r="B45" s="5" t="s">
        <v>151</v>
      </c>
      <c r="C45" s="78" t="s">
        <v>152</v>
      </c>
      <c r="D45" s="79">
        <v>0</v>
      </c>
      <c r="E45" s="138" t="s">
        <v>153</v>
      </c>
      <c r="F45" s="78" t="s">
        <v>154</v>
      </c>
      <c r="G45" s="79">
        <v>1779217</v>
      </c>
    </row>
    <row r="46" spans="2:7">
      <c r="B46" s="5" t="s">
        <v>155</v>
      </c>
      <c r="C46" s="78" t="s">
        <v>156</v>
      </c>
      <c r="D46" s="79">
        <v>12067929</v>
      </c>
      <c r="E46" s="138" t="s">
        <v>157</v>
      </c>
      <c r="F46" s="78" t="s">
        <v>158</v>
      </c>
      <c r="G46" s="79">
        <v>31268077</v>
      </c>
    </row>
    <row r="47" spans="2:7" ht="16.5" thickBot="1">
      <c r="B47" s="5"/>
      <c r="C47" s="85" t="s">
        <v>159</v>
      </c>
      <c r="D47" s="86">
        <f>SUM(D36:D46)</f>
        <v>336149661</v>
      </c>
      <c r="E47" s="138" t="s">
        <v>160</v>
      </c>
      <c r="F47" s="78" t="s">
        <v>161</v>
      </c>
      <c r="G47" s="84">
        <v>8652903</v>
      </c>
    </row>
    <row r="48" spans="2:7" ht="16.5" thickBot="1">
      <c r="B48" s="5"/>
      <c r="C48" s="92" t="s">
        <v>162</v>
      </c>
      <c r="D48" s="93"/>
      <c r="E48" s="138"/>
      <c r="F48" s="85" t="s">
        <v>163</v>
      </c>
      <c r="G48" s="94">
        <f>+G33+G40+G47</f>
        <v>241024815</v>
      </c>
    </row>
    <row r="49" spans="2:7">
      <c r="B49" s="5" t="s">
        <v>164</v>
      </c>
      <c r="C49" s="95" t="s">
        <v>165</v>
      </c>
      <c r="D49" s="96">
        <v>0</v>
      </c>
      <c r="E49" s="138" t="s">
        <v>166</v>
      </c>
      <c r="F49" s="80" t="s">
        <v>167</v>
      </c>
      <c r="G49" s="81">
        <v>22146194</v>
      </c>
    </row>
    <row r="50" spans="2:7">
      <c r="B50" s="5" t="s">
        <v>168</v>
      </c>
      <c r="C50" s="78" t="s">
        <v>162</v>
      </c>
      <c r="D50" s="79">
        <v>15903076</v>
      </c>
      <c r="E50" s="138" t="s">
        <v>169</v>
      </c>
      <c r="F50" s="78" t="s">
        <v>170</v>
      </c>
      <c r="G50" s="79">
        <v>96682836</v>
      </c>
    </row>
    <row r="51" spans="2:7">
      <c r="B51" s="5" t="s">
        <v>171</v>
      </c>
      <c r="C51" s="78" t="s">
        <v>172</v>
      </c>
      <c r="D51" s="84">
        <v>592187</v>
      </c>
      <c r="E51" s="138" t="s">
        <v>173</v>
      </c>
      <c r="F51" s="78" t="s">
        <v>174</v>
      </c>
      <c r="G51" s="79">
        <v>0</v>
      </c>
    </row>
    <row r="52" spans="2:7" ht="16.5" thickBot="1">
      <c r="B52" s="11"/>
      <c r="C52" s="85" t="s">
        <v>175</v>
      </c>
      <c r="D52" s="86">
        <f>SUM(D49:D51)</f>
        <v>16495263</v>
      </c>
      <c r="E52" s="138" t="s">
        <v>176</v>
      </c>
      <c r="F52" s="78" t="s">
        <v>177</v>
      </c>
      <c r="G52" s="79">
        <v>0</v>
      </c>
    </row>
    <row r="53" spans="2:7" ht="16.5" thickBot="1">
      <c r="B53" s="5"/>
      <c r="C53" s="75" t="s">
        <v>178</v>
      </c>
      <c r="D53" s="97">
        <f>D20+D35+D47+D52</f>
        <v>3048633540</v>
      </c>
      <c r="E53" s="138" t="s">
        <v>179</v>
      </c>
      <c r="F53" s="78" t="s">
        <v>180</v>
      </c>
      <c r="G53" s="79">
        <v>9699088</v>
      </c>
    </row>
    <row r="54" spans="2:7">
      <c r="C54" s="98"/>
      <c r="D54" s="99"/>
      <c r="E54" s="138" t="s">
        <v>181</v>
      </c>
      <c r="F54" s="78" t="s">
        <v>182</v>
      </c>
      <c r="G54" s="79">
        <v>8995431</v>
      </c>
    </row>
    <row r="55" spans="2:7">
      <c r="C55" s="100" t="s">
        <v>183</v>
      </c>
      <c r="D55" s="101"/>
      <c r="E55" s="138" t="s">
        <v>184</v>
      </c>
      <c r="F55" s="78" t="s">
        <v>185</v>
      </c>
      <c r="G55" s="79">
        <v>7869838</v>
      </c>
    </row>
    <row r="56" spans="2:7">
      <c r="B56" s="5" t="s">
        <v>186</v>
      </c>
      <c r="C56" s="102" t="s">
        <v>187</v>
      </c>
      <c r="D56" s="79"/>
      <c r="E56" s="138" t="s">
        <v>188</v>
      </c>
      <c r="F56" s="78" t="s">
        <v>189</v>
      </c>
      <c r="G56" s="84">
        <v>5414058</v>
      </c>
    </row>
    <row r="57" spans="2:7" ht="14.25" customHeight="1" thickBot="1">
      <c r="B57" s="5" t="s">
        <v>190</v>
      </c>
      <c r="C57" s="102" t="s">
        <v>191</v>
      </c>
      <c r="D57" s="79">
        <v>-1539259</v>
      </c>
      <c r="E57" s="138"/>
      <c r="F57" s="85" t="s">
        <v>192</v>
      </c>
      <c r="G57" s="86">
        <f>SUM(G49:G56)</f>
        <v>150807445</v>
      </c>
    </row>
    <row r="58" spans="2:7">
      <c r="B58" s="5" t="s">
        <v>193</v>
      </c>
      <c r="C58" s="102" t="s">
        <v>194</v>
      </c>
      <c r="D58" s="79">
        <v>-8629346</v>
      </c>
      <c r="E58" s="138" t="s">
        <v>195</v>
      </c>
      <c r="F58" s="80" t="s">
        <v>196</v>
      </c>
      <c r="G58" s="81">
        <v>0</v>
      </c>
    </row>
    <row r="59" spans="2:7">
      <c r="B59" s="5" t="s">
        <v>197</v>
      </c>
      <c r="C59" s="78" t="s">
        <v>198</v>
      </c>
      <c r="D59" s="84">
        <v>-378652</v>
      </c>
      <c r="E59" s="138" t="s">
        <v>199</v>
      </c>
      <c r="F59" s="78" t="s">
        <v>200</v>
      </c>
      <c r="G59" s="79">
        <v>33679489</v>
      </c>
    </row>
    <row r="60" spans="2:7" ht="16.5" thickBot="1">
      <c r="B60" s="5"/>
      <c r="C60" s="85" t="s">
        <v>201</v>
      </c>
      <c r="D60" s="86">
        <f>SUM(D56:D59)</f>
        <v>-10547257</v>
      </c>
      <c r="E60" s="138" t="s">
        <v>202</v>
      </c>
      <c r="F60" s="78" t="s">
        <v>203</v>
      </c>
      <c r="G60" s="79">
        <v>3051985</v>
      </c>
    </row>
    <row r="61" spans="2:7" ht="16.5" thickBot="1">
      <c r="B61" s="15"/>
      <c r="C61" s="72" t="s">
        <v>204</v>
      </c>
      <c r="D61" s="103">
        <f>D53+D60</f>
        <v>3038086283</v>
      </c>
      <c r="E61" s="138" t="s">
        <v>205</v>
      </c>
      <c r="F61" s="78" t="s">
        <v>206</v>
      </c>
      <c r="G61" s="79">
        <v>2490877</v>
      </c>
    </row>
    <row r="62" spans="2:7">
      <c r="B62" s="16"/>
      <c r="C62" s="116"/>
      <c r="D62" s="116"/>
      <c r="E62" s="138" t="s">
        <v>207</v>
      </c>
      <c r="F62" s="78" t="s">
        <v>208</v>
      </c>
      <c r="G62" s="79">
        <v>121778</v>
      </c>
    </row>
    <row r="63" spans="2:7">
      <c r="B63" s="17"/>
      <c r="C63" s="222" t="s">
        <v>8</v>
      </c>
      <c r="D63" s="222"/>
      <c r="E63" s="138" t="s">
        <v>209</v>
      </c>
      <c r="F63" s="78" t="s">
        <v>210</v>
      </c>
      <c r="G63" s="79">
        <v>195093894</v>
      </c>
    </row>
    <row r="64" spans="2:7">
      <c r="B64" s="18" t="s">
        <v>211</v>
      </c>
      <c r="C64" s="223" t="s">
        <v>212</v>
      </c>
      <c r="D64" s="223">
        <f>[26]Amortizaciones!D6</f>
        <v>42008222</v>
      </c>
      <c r="E64" s="138" t="s">
        <v>213</v>
      </c>
      <c r="F64" s="78" t="s">
        <v>214</v>
      </c>
      <c r="G64" s="79">
        <v>429201</v>
      </c>
    </row>
    <row r="65" spans="2:7">
      <c r="B65" s="18" t="s">
        <v>215</v>
      </c>
      <c r="C65" s="223" t="s">
        <v>216</v>
      </c>
      <c r="D65" s="223">
        <f>[26]Amortizaciones!D7</f>
        <v>0</v>
      </c>
      <c r="E65" s="138" t="s">
        <v>217</v>
      </c>
      <c r="F65" s="78" t="s">
        <v>218</v>
      </c>
      <c r="G65" s="79">
        <v>575634</v>
      </c>
    </row>
    <row r="66" spans="2:7">
      <c r="B66" s="18" t="s">
        <v>219</v>
      </c>
      <c r="C66" s="223" t="s">
        <v>220</v>
      </c>
      <c r="D66" s="223">
        <f>[26]Amortizaciones!D8</f>
        <v>19605332</v>
      </c>
      <c r="E66" s="138" t="s">
        <v>221</v>
      </c>
      <c r="F66" s="78" t="s">
        <v>222</v>
      </c>
      <c r="G66" s="79">
        <v>72043</v>
      </c>
    </row>
    <row r="67" spans="2:7">
      <c r="B67" s="18" t="s">
        <v>223</v>
      </c>
      <c r="C67" s="223" t="s">
        <v>224</v>
      </c>
      <c r="D67" s="223">
        <f>[26]Amortizaciones!D9</f>
        <v>0</v>
      </c>
      <c r="E67" s="138" t="s">
        <v>225</v>
      </c>
      <c r="F67" s="78" t="s">
        <v>226</v>
      </c>
      <c r="G67" s="79">
        <v>801866</v>
      </c>
    </row>
    <row r="68" spans="2:7">
      <c r="B68" s="18" t="s">
        <v>227</v>
      </c>
      <c r="C68" s="223" t="s">
        <v>228</v>
      </c>
      <c r="D68" s="223">
        <f>[26]Amortizaciones!D10</f>
        <v>4175933</v>
      </c>
      <c r="E68" s="138" t="s">
        <v>229</v>
      </c>
      <c r="F68" s="78" t="s">
        <v>230</v>
      </c>
      <c r="G68" s="79">
        <v>0</v>
      </c>
    </row>
    <row r="69" spans="2:7">
      <c r="B69" s="18" t="s">
        <v>231</v>
      </c>
      <c r="C69" s="223" t="s">
        <v>232</v>
      </c>
      <c r="D69" s="223">
        <f>[26]Amortizaciones!D11</f>
        <v>71944</v>
      </c>
      <c r="E69" s="138" t="s">
        <v>233</v>
      </c>
      <c r="F69" s="78" t="s">
        <v>234</v>
      </c>
      <c r="G69" s="79">
        <v>31305</v>
      </c>
    </row>
    <row r="70" spans="2:7">
      <c r="B70" s="18" t="s">
        <v>235</v>
      </c>
      <c r="C70" s="223" t="s">
        <v>236</v>
      </c>
      <c r="D70" s="223">
        <f>[26]Amortizaciones!D12</f>
        <v>6790848</v>
      </c>
      <c r="E70" s="138" t="s">
        <v>237</v>
      </c>
      <c r="F70" s="78" t="s">
        <v>238</v>
      </c>
      <c r="G70" s="79">
        <v>800155</v>
      </c>
    </row>
    <row r="71" spans="2:7">
      <c r="B71" s="18" t="s">
        <v>239</v>
      </c>
      <c r="C71" s="223" t="s">
        <v>240</v>
      </c>
      <c r="D71" s="223">
        <f>[26]Amortizaciones!D13</f>
        <v>250112</v>
      </c>
      <c r="E71" s="138" t="s">
        <v>241</v>
      </c>
      <c r="F71" s="78" t="s">
        <v>242</v>
      </c>
      <c r="G71" s="79">
        <v>0</v>
      </c>
    </row>
    <row r="72" spans="2:7">
      <c r="B72" s="18" t="s">
        <v>243</v>
      </c>
      <c r="C72" s="223" t="s">
        <v>244</v>
      </c>
      <c r="D72" s="223">
        <f>[26]Amortizaciones!D14</f>
        <v>5235261</v>
      </c>
      <c r="E72" s="138" t="s">
        <v>245</v>
      </c>
      <c r="F72" s="78" t="s">
        <v>246</v>
      </c>
      <c r="G72" s="79">
        <v>5023889</v>
      </c>
    </row>
    <row r="73" spans="2:7">
      <c r="B73" s="18" t="s">
        <v>247</v>
      </c>
      <c r="C73" s="223" t="s">
        <v>248</v>
      </c>
      <c r="D73" s="223">
        <f>[26]Amortizaciones!D15</f>
        <v>0</v>
      </c>
      <c r="E73" s="138" t="s">
        <v>249</v>
      </c>
      <c r="F73" s="78" t="s">
        <v>250</v>
      </c>
      <c r="G73" s="79">
        <v>0</v>
      </c>
    </row>
    <row r="74" spans="2:7">
      <c r="B74" s="18" t="s">
        <v>251</v>
      </c>
      <c r="C74" s="223" t="s">
        <v>252</v>
      </c>
      <c r="D74" s="223">
        <f>[26]Amortizaciones!D16</f>
        <v>70225</v>
      </c>
      <c r="E74" s="138" t="s">
        <v>253</v>
      </c>
      <c r="F74" s="78" t="s">
        <v>254</v>
      </c>
      <c r="G74" s="79">
        <v>0</v>
      </c>
    </row>
    <row r="75" spans="2:7">
      <c r="B75" s="18" t="s">
        <v>255</v>
      </c>
      <c r="C75" s="223" t="s">
        <v>256</v>
      </c>
      <c r="D75" s="223">
        <f>[26]Amortizaciones!D17</f>
        <v>0</v>
      </c>
      <c r="E75" s="138" t="s">
        <v>257</v>
      </c>
      <c r="F75" s="78" t="s">
        <v>258</v>
      </c>
      <c r="G75" s="79">
        <v>8214917</v>
      </c>
    </row>
    <row r="76" spans="2:7">
      <c r="B76" s="18" t="s">
        <v>259</v>
      </c>
      <c r="C76" s="223" t="s">
        <v>260</v>
      </c>
      <c r="D76" s="223">
        <f>[26]Amortizaciones!D18</f>
        <v>0</v>
      </c>
      <c r="E76" s="138" t="s">
        <v>261</v>
      </c>
      <c r="F76" s="78" t="s">
        <v>262</v>
      </c>
      <c r="G76" s="79">
        <v>23610864</v>
      </c>
    </row>
    <row r="77" spans="2:7">
      <c r="B77" s="18" t="s">
        <v>263</v>
      </c>
      <c r="C77" s="223" t="s">
        <v>264</v>
      </c>
      <c r="D77" s="223">
        <f>SUM(D64:D76)</f>
        <v>78207877</v>
      </c>
      <c r="E77" s="138" t="s">
        <v>265</v>
      </c>
      <c r="F77" s="78" t="s">
        <v>266</v>
      </c>
      <c r="G77" s="79">
        <v>31141425</v>
      </c>
    </row>
    <row r="78" spans="2:7">
      <c r="B78" s="18"/>
      <c r="C78" s="223"/>
      <c r="D78" s="223"/>
      <c r="E78" s="138" t="s">
        <v>267</v>
      </c>
      <c r="F78" s="78" t="s">
        <v>268</v>
      </c>
      <c r="G78" s="84">
        <v>11362565</v>
      </c>
    </row>
    <row r="79" spans="2:7" ht="16.5" thickBot="1">
      <c r="B79" s="18"/>
      <c r="C79" s="222" t="s">
        <v>269</v>
      </c>
      <c r="D79" s="224"/>
      <c r="E79" s="138"/>
      <c r="F79" s="85" t="s">
        <v>270</v>
      </c>
      <c r="G79" s="86">
        <f>SUM(G58:G78)</f>
        <v>316501887</v>
      </c>
    </row>
    <row r="80" spans="2:7">
      <c r="B80" s="18" t="s">
        <v>271</v>
      </c>
      <c r="C80" s="223" t="s">
        <v>236</v>
      </c>
      <c r="D80" s="223">
        <f>[26]Amortizaciones!D22</f>
        <v>489233</v>
      </c>
      <c r="E80" s="138" t="s">
        <v>272</v>
      </c>
      <c r="F80" s="80" t="s">
        <v>273</v>
      </c>
      <c r="G80" s="81">
        <v>1005916</v>
      </c>
    </row>
    <row r="81" spans="2:7">
      <c r="B81" s="18" t="s">
        <v>274</v>
      </c>
      <c r="C81" s="223" t="s">
        <v>240</v>
      </c>
      <c r="D81" s="223">
        <f>[26]Amortizaciones!D23</f>
        <v>0</v>
      </c>
      <c r="E81" s="138" t="s">
        <v>275</v>
      </c>
      <c r="F81" s="78" t="s">
        <v>276</v>
      </c>
      <c r="G81" s="79">
        <v>13646267</v>
      </c>
    </row>
    <row r="82" spans="2:7">
      <c r="B82" s="18" t="s">
        <v>277</v>
      </c>
      <c r="C82" s="223" t="s">
        <v>244</v>
      </c>
      <c r="D82" s="223">
        <f>[26]Amortizaciones!D24</f>
        <v>599260</v>
      </c>
      <c r="E82" s="138" t="s">
        <v>278</v>
      </c>
      <c r="F82" s="78" t="s">
        <v>279</v>
      </c>
      <c r="G82" s="79">
        <v>5502858</v>
      </c>
    </row>
    <row r="83" spans="2:7">
      <c r="B83" s="18" t="s">
        <v>280</v>
      </c>
      <c r="C83" s="223" t="s">
        <v>248</v>
      </c>
      <c r="D83" s="223">
        <f>[26]Amortizaciones!D25</f>
        <v>170602</v>
      </c>
      <c r="E83" s="138" t="s">
        <v>281</v>
      </c>
      <c r="F83" s="78" t="s">
        <v>282</v>
      </c>
      <c r="G83" s="79">
        <v>1979975</v>
      </c>
    </row>
    <row r="84" spans="2:7">
      <c r="B84" s="18" t="s">
        <v>283</v>
      </c>
      <c r="C84" s="223" t="s">
        <v>284</v>
      </c>
      <c r="D84" s="223">
        <v>0</v>
      </c>
      <c r="E84" s="138" t="s">
        <v>285</v>
      </c>
      <c r="F84" s="78" t="s">
        <v>286</v>
      </c>
      <c r="G84" s="79">
        <v>17186656</v>
      </c>
    </row>
    <row r="85" spans="2:7">
      <c r="B85" s="18" t="s">
        <v>287</v>
      </c>
      <c r="C85" s="223" t="s">
        <v>288</v>
      </c>
      <c r="D85" s="223">
        <f>[26]Amortizaciones!D27</f>
        <v>0</v>
      </c>
      <c r="E85" s="138" t="s">
        <v>289</v>
      </c>
      <c r="F85" s="78" t="s">
        <v>290</v>
      </c>
      <c r="G85" s="79">
        <v>1936269</v>
      </c>
    </row>
    <row r="86" spans="2:7" ht="13.5" customHeight="1">
      <c r="B86" s="18" t="s">
        <v>291</v>
      </c>
      <c r="C86" s="223" t="s">
        <v>292</v>
      </c>
      <c r="D86" s="223">
        <f>[26]Amortizaciones!D28</f>
        <v>0</v>
      </c>
      <c r="E86" s="138" t="s">
        <v>293</v>
      </c>
      <c r="F86" s="78" t="s">
        <v>294</v>
      </c>
      <c r="G86" s="79">
        <v>2349588</v>
      </c>
    </row>
    <row r="87" spans="2:7" ht="13.5" customHeight="1">
      <c r="B87" s="18" t="s">
        <v>295</v>
      </c>
      <c r="C87" s="223" t="s">
        <v>296</v>
      </c>
      <c r="D87" s="223">
        <f>[26]Amortizaciones!D29</f>
        <v>0</v>
      </c>
      <c r="E87" s="138" t="s">
        <v>297</v>
      </c>
      <c r="F87" s="78" t="s">
        <v>298</v>
      </c>
      <c r="G87" s="79">
        <v>201743</v>
      </c>
    </row>
    <row r="88" spans="2:7" ht="13.5" customHeight="1">
      <c r="B88" s="18" t="s">
        <v>299</v>
      </c>
      <c r="C88" s="223" t="s">
        <v>300</v>
      </c>
      <c r="D88" s="223">
        <f>[26]Amortizaciones!D30</f>
        <v>0</v>
      </c>
      <c r="E88" s="138" t="s">
        <v>301</v>
      </c>
      <c r="F88" s="78" t="s">
        <v>302</v>
      </c>
      <c r="G88" s="79">
        <v>7478026</v>
      </c>
    </row>
    <row r="89" spans="2:7">
      <c r="B89" s="18" t="s">
        <v>303</v>
      </c>
      <c r="C89" s="223" t="s">
        <v>212</v>
      </c>
      <c r="D89" s="223">
        <f>[26]Amortizaciones!D31</f>
        <v>3479181</v>
      </c>
      <c r="E89" s="138" t="s">
        <v>304</v>
      </c>
      <c r="F89" s="78" t="s">
        <v>305</v>
      </c>
      <c r="G89" s="79">
        <v>17846322</v>
      </c>
    </row>
    <row r="90" spans="2:7" ht="14.25" customHeight="1">
      <c r="B90" s="18" t="s">
        <v>306</v>
      </c>
      <c r="C90" s="223" t="s">
        <v>228</v>
      </c>
      <c r="D90" s="223">
        <f>[26]Amortizaciones!D32</f>
        <v>0</v>
      </c>
      <c r="E90" s="138" t="s">
        <v>307</v>
      </c>
      <c r="F90" s="78" t="s">
        <v>308</v>
      </c>
      <c r="G90" s="79">
        <v>589276</v>
      </c>
    </row>
    <row r="91" spans="2:7" ht="14.25" customHeight="1">
      <c r="B91" s="18" t="s">
        <v>309</v>
      </c>
      <c r="C91" s="223" t="s">
        <v>310</v>
      </c>
      <c r="D91" s="223">
        <f>SUM(D80:D90)</f>
        <v>4738276</v>
      </c>
      <c r="E91" s="225" t="s">
        <v>311</v>
      </c>
      <c r="F91" s="78" t="s">
        <v>312</v>
      </c>
      <c r="G91" s="79">
        <v>10130040</v>
      </c>
    </row>
    <row r="92" spans="2:7" ht="14.25" customHeight="1">
      <c r="B92" s="18"/>
      <c r="C92" s="226" t="s">
        <v>313</v>
      </c>
      <c r="D92" s="223">
        <f>D77+D91</f>
        <v>82946153</v>
      </c>
      <c r="E92" s="225" t="s">
        <v>314</v>
      </c>
      <c r="F92" s="78" t="s">
        <v>315</v>
      </c>
      <c r="G92" s="79">
        <v>1299007</v>
      </c>
    </row>
    <row r="93" spans="2:7">
      <c r="C93" s="116"/>
      <c r="D93" s="116"/>
      <c r="E93" s="225" t="s">
        <v>316</v>
      </c>
      <c r="F93" s="78" t="s">
        <v>317</v>
      </c>
      <c r="G93" s="79">
        <v>4979364</v>
      </c>
    </row>
    <row r="94" spans="2:7">
      <c r="C94" s="116"/>
      <c r="D94" s="116"/>
      <c r="E94" s="225" t="s">
        <v>318</v>
      </c>
      <c r="F94" s="78" t="s">
        <v>319</v>
      </c>
      <c r="G94" s="84">
        <v>3207297</v>
      </c>
    </row>
    <row r="95" spans="2:7" ht="13.5" customHeight="1" thickBot="1">
      <c r="C95" s="116"/>
      <c r="D95" s="116"/>
      <c r="E95" s="138"/>
      <c r="F95" s="85" t="s">
        <v>320</v>
      </c>
      <c r="G95" s="86">
        <f>SUM(G80:G94)</f>
        <v>89338604</v>
      </c>
    </row>
    <row r="96" spans="2:7">
      <c r="C96" s="116"/>
      <c r="D96" s="116"/>
      <c r="E96" s="225" t="s">
        <v>321</v>
      </c>
      <c r="F96" s="80" t="s">
        <v>322</v>
      </c>
      <c r="G96" s="81">
        <v>16208470</v>
      </c>
    </row>
    <row r="97" spans="2:7">
      <c r="C97" s="116"/>
      <c r="D97" s="116"/>
      <c r="E97" s="225" t="s">
        <v>323</v>
      </c>
      <c r="F97" s="78" t="s">
        <v>324</v>
      </c>
      <c r="G97" s="79">
        <v>14601830</v>
      </c>
    </row>
    <row r="98" spans="2:7">
      <c r="C98" s="116"/>
      <c r="D98" s="116"/>
      <c r="E98" s="225" t="s">
        <v>325</v>
      </c>
      <c r="F98" s="78" t="s">
        <v>326</v>
      </c>
      <c r="G98" s="79">
        <v>296633</v>
      </c>
    </row>
    <row r="99" spans="2:7">
      <c r="C99" s="116"/>
      <c r="D99" s="116"/>
      <c r="E99" s="225" t="s">
        <v>327</v>
      </c>
      <c r="F99" s="78" t="s">
        <v>328</v>
      </c>
      <c r="G99" s="79">
        <v>10898956</v>
      </c>
    </row>
    <row r="100" spans="2:7">
      <c r="C100" s="116"/>
      <c r="D100" s="116"/>
      <c r="E100" s="225" t="s">
        <v>329</v>
      </c>
      <c r="F100" s="78" t="s">
        <v>330</v>
      </c>
      <c r="G100" s="84">
        <v>1564186</v>
      </c>
    </row>
    <row r="101" spans="2:7" ht="12.75" customHeight="1" thickBot="1">
      <c r="C101" s="116"/>
      <c r="D101" s="116"/>
      <c r="E101" s="138"/>
      <c r="F101" s="85" t="s">
        <v>331</v>
      </c>
      <c r="G101" s="86">
        <f>SUM(G96:G100)</f>
        <v>43570075</v>
      </c>
    </row>
    <row r="102" spans="2:7" ht="12.75" customHeight="1" thickBot="1">
      <c r="C102" s="116"/>
      <c r="D102" s="116"/>
      <c r="E102" s="225"/>
      <c r="F102" s="110" t="s">
        <v>332</v>
      </c>
      <c r="G102" s="111">
        <f>[26]Amortizaciones!D19</f>
        <v>78207877</v>
      </c>
    </row>
    <row r="103" spans="2:7">
      <c r="C103" s="116"/>
      <c r="D103" s="116"/>
      <c r="E103" s="225" t="s">
        <v>333</v>
      </c>
      <c r="F103" s="78" t="s">
        <v>334</v>
      </c>
      <c r="G103" s="81">
        <v>4190528</v>
      </c>
    </row>
    <row r="104" spans="2:7">
      <c r="C104" s="116"/>
      <c r="D104" s="116"/>
      <c r="E104" s="225" t="s">
        <v>335</v>
      </c>
      <c r="F104" s="112" t="s">
        <v>336</v>
      </c>
      <c r="G104" s="79">
        <v>156044</v>
      </c>
    </row>
    <row r="105" spans="2:7" ht="14.25" customHeight="1" thickBot="1">
      <c r="C105" s="116"/>
      <c r="D105" s="116"/>
      <c r="E105" s="138"/>
      <c r="F105" s="85" t="s">
        <v>337</v>
      </c>
      <c r="G105" s="86">
        <f>SUM(G103:G104)</f>
        <v>4346572</v>
      </c>
    </row>
    <row r="106" spans="2:7" ht="14.25" customHeight="1" thickBot="1">
      <c r="B106" s="5"/>
      <c r="C106" s="227"/>
      <c r="D106" s="227"/>
      <c r="E106" s="225"/>
      <c r="F106" s="72" t="s">
        <v>338</v>
      </c>
      <c r="G106" s="103">
        <f>G19+G27+G32+G48+G57+G79+G95+G101+G102+G105</f>
        <v>2986973172</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51113111</v>
      </c>
    </row>
    <row r="110" spans="2:7" ht="6.75" customHeight="1" thickBot="1">
      <c r="B110" s="5"/>
      <c r="C110" s="227"/>
      <c r="D110" s="227"/>
      <c r="E110" s="138"/>
      <c r="F110" s="116"/>
      <c r="G110" s="116"/>
    </row>
    <row r="111" spans="2:7" ht="15" customHeight="1" thickBot="1">
      <c r="C111" s="72" t="s">
        <v>269</v>
      </c>
      <c r="D111" s="118">
        <f>+[26]E.S.P.!D6</f>
        <v>2021</v>
      </c>
      <c r="E111" s="225"/>
      <c r="F111" s="72" t="s">
        <v>340</v>
      </c>
      <c r="G111" s="118">
        <f>+[26]E.S.P.!D6</f>
        <v>2021</v>
      </c>
    </row>
    <row r="112" spans="2:7" ht="13.7" customHeight="1">
      <c r="B112" s="5" t="s">
        <v>341</v>
      </c>
      <c r="C112" s="119" t="s">
        <v>342</v>
      </c>
      <c r="D112" s="120">
        <v>18858891</v>
      </c>
      <c r="E112" s="138" t="s">
        <v>343</v>
      </c>
      <c r="F112" s="119" t="s">
        <v>308</v>
      </c>
      <c r="G112" s="120">
        <v>18000</v>
      </c>
    </row>
    <row r="113" spans="2:7" ht="13.7" customHeight="1">
      <c r="B113" s="5" t="s">
        <v>344</v>
      </c>
      <c r="C113" s="121" t="s">
        <v>345</v>
      </c>
      <c r="D113" s="122">
        <v>71438573</v>
      </c>
      <c r="E113" s="138" t="s">
        <v>346</v>
      </c>
      <c r="F113" s="121" t="s">
        <v>347</v>
      </c>
      <c r="G113" s="122">
        <v>0</v>
      </c>
    </row>
    <row r="114" spans="2:7" ht="13.7" customHeight="1">
      <c r="B114" s="5" t="s">
        <v>348</v>
      </c>
      <c r="C114" s="121" t="s">
        <v>48</v>
      </c>
      <c r="D114" s="122">
        <v>0</v>
      </c>
      <c r="E114" s="138" t="s">
        <v>349</v>
      </c>
      <c r="F114" s="121" t="s">
        <v>350</v>
      </c>
      <c r="G114" s="122">
        <v>1818326</v>
      </c>
    </row>
    <row r="115" spans="2:7" ht="13.7" customHeight="1">
      <c r="B115" s="5" t="s">
        <v>351</v>
      </c>
      <c r="C115" s="121" t="s">
        <v>352</v>
      </c>
      <c r="D115" s="122">
        <v>1217732</v>
      </c>
      <c r="E115" s="138" t="s">
        <v>353</v>
      </c>
      <c r="F115" s="121" t="s">
        <v>354</v>
      </c>
      <c r="G115" s="122">
        <v>133750</v>
      </c>
    </row>
    <row r="116" spans="2:7" ht="13.7" customHeight="1">
      <c r="B116" s="5" t="s">
        <v>355</v>
      </c>
      <c r="C116" s="121" t="s">
        <v>356</v>
      </c>
      <c r="D116" s="122">
        <v>3329199</v>
      </c>
      <c r="E116" s="138" t="s">
        <v>357</v>
      </c>
      <c r="F116" s="121" t="s">
        <v>358</v>
      </c>
      <c r="G116" s="122">
        <v>3215154</v>
      </c>
    </row>
    <row r="117" spans="2:7" ht="13.7" customHeight="1">
      <c r="B117" s="5" t="s">
        <v>359</v>
      </c>
      <c r="C117" s="121" t="s">
        <v>360</v>
      </c>
      <c r="D117" s="122">
        <v>0</v>
      </c>
      <c r="E117" s="138" t="s">
        <v>361</v>
      </c>
      <c r="F117" s="121" t="s">
        <v>362</v>
      </c>
      <c r="G117" s="122">
        <v>27052</v>
      </c>
    </row>
    <row r="118" spans="2:7" ht="13.7" customHeight="1">
      <c r="B118" s="5" t="s">
        <v>363</v>
      </c>
      <c r="C118" s="121" t="s">
        <v>364</v>
      </c>
      <c r="D118" s="122">
        <v>106756</v>
      </c>
      <c r="E118" s="138" t="s">
        <v>365</v>
      </c>
      <c r="F118" s="121" t="s">
        <v>366</v>
      </c>
      <c r="G118" s="122">
        <v>0</v>
      </c>
    </row>
    <row r="119" spans="2:7" ht="13.7" customHeight="1">
      <c r="B119" s="5" t="s">
        <v>367</v>
      </c>
      <c r="C119" s="121" t="s">
        <v>368</v>
      </c>
      <c r="D119" s="122">
        <v>502462</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3554435</v>
      </c>
      <c r="E121" s="138" t="s">
        <v>377</v>
      </c>
      <c r="F121" s="121" t="s">
        <v>378</v>
      </c>
      <c r="G121" s="122">
        <v>22810081</v>
      </c>
    </row>
    <row r="122" spans="2:7" ht="13.7" customHeight="1" thickBot="1">
      <c r="B122" s="5"/>
      <c r="C122" s="85" t="s">
        <v>379</v>
      </c>
      <c r="D122" s="94">
        <f>SUM(D112:D121)</f>
        <v>99008048</v>
      </c>
      <c r="E122" s="138" t="s">
        <v>380</v>
      </c>
      <c r="F122" s="78" t="s">
        <v>381</v>
      </c>
      <c r="G122" s="79">
        <v>932064</v>
      </c>
    </row>
    <row r="123" spans="2:7" ht="13.7" customHeight="1" thickBot="1">
      <c r="B123" s="5" t="s">
        <v>382</v>
      </c>
      <c r="C123" s="123" t="s">
        <v>308</v>
      </c>
      <c r="D123" s="120">
        <v>0</v>
      </c>
      <c r="E123" s="225"/>
      <c r="F123" s="85" t="s">
        <v>383</v>
      </c>
      <c r="G123" s="94">
        <f>SUM(G112:G122)</f>
        <v>28954427</v>
      </c>
    </row>
    <row r="124" spans="2:7" ht="13.7" customHeight="1">
      <c r="B124" s="5" t="s">
        <v>384</v>
      </c>
      <c r="C124" s="121" t="s">
        <v>312</v>
      </c>
      <c r="D124" s="122">
        <v>68295</v>
      </c>
      <c r="E124" s="138" t="s">
        <v>385</v>
      </c>
      <c r="F124" s="121" t="s">
        <v>386</v>
      </c>
      <c r="G124" s="122">
        <v>2420690</v>
      </c>
    </row>
    <row r="125" spans="2:7" ht="13.7" customHeight="1">
      <c r="B125" s="5" t="s">
        <v>387</v>
      </c>
      <c r="C125" s="78" t="s">
        <v>388</v>
      </c>
      <c r="D125" s="122">
        <v>2543</v>
      </c>
      <c r="E125" s="138" t="s">
        <v>389</v>
      </c>
      <c r="F125" s="121" t="s">
        <v>390</v>
      </c>
      <c r="G125" s="122">
        <v>1047822</v>
      </c>
    </row>
    <row r="126" spans="2:7" ht="13.7" customHeight="1" thickBot="1">
      <c r="B126" s="5"/>
      <c r="C126" s="85" t="s">
        <v>391</v>
      </c>
      <c r="D126" s="94">
        <f>SUM(D123:D125)</f>
        <v>70838</v>
      </c>
      <c r="E126" s="138" t="s">
        <v>392</v>
      </c>
      <c r="F126" s="121" t="s">
        <v>393</v>
      </c>
      <c r="G126" s="122">
        <v>1133925</v>
      </c>
    </row>
    <row r="127" spans="2:7" ht="13.7" customHeight="1">
      <c r="B127" s="5" t="s">
        <v>394</v>
      </c>
      <c r="C127" s="119" t="s">
        <v>273</v>
      </c>
      <c r="D127" s="120">
        <v>483591</v>
      </c>
      <c r="E127" s="138" t="s">
        <v>395</v>
      </c>
      <c r="F127" s="121" t="s">
        <v>396</v>
      </c>
      <c r="G127" s="122">
        <v>0</v>
      </c>
    </row>
    <row r="128" spans="2:7" ht="13.7" customHeight="1">
      <c r="B128" s="5" t="s">
        <v>397</v>
      </c>
      <c r="C128" s="121" t="s">
        <v>398</v>
      </c>
      <c r="D128" s="122">
        <v>499963</v>
      </c>
      <c r="E128" s="138" t="s">
        <v>399</v>
      </c>
      <c r="F128" s="121" t="s">
        <v>400</v>
      </c>
      <c r="G128" s="122">
        <v>4778663</v>
      </c>
    </row>
    <row r="129" spans="2:7" ht="13.7" customHeight="1">
      <c r="B129" s="5" t="s">
        <v>401</v>
      </c>
      <c r="C129" s="121" t="s">
        <v>276</v>
      </c>
      <c r="D129" s="122">
        <v>265199</v>
      </c>
      <c r="E129" s="138" t="s">
        <v>402</v>
      </c>
      <c r="F129" s="121" t="s">
        <v>403</v>
      </c>
      <c r="G129" s="122">
        <v>56909</v>
      </c>
    </row>
    <row r="130" spans="2:7" ht="13.7" customHeight="1">
      <c r="B130" s="5" t="s">
        <v>404</v>
      </c>
      <c r="C130" s="121" t="s">
        <v>282</v>
      </c>
      <c r="D130" s="122">
        <v>158825</v>
      </c>
      <c r="E130" s="138" t="s">
        <v>405</v>
      </c>
      <c r="F130" s="121" t="s">
        <v>406</v>
      </c>
      <c r="G130" s="122">
        <v>0</v>
      </c>
    </row>
    <row r="131" spans="2:7" ht="13.7" customHeight="1">
      <c r="B131" s="5" t="s">
        <v>407</v>
      </c>
      <c r="C131" s="121" t="s">
        <v>286</v>
      </c>
      <c r="D131" s="122">
        <v>1948020</v>
      </c>
      <c r="E131" s="138" t="s">
        <v>408</v>
      </c>
      <c r="F131" s="121" t="s">
        <v>409</v>
      </c>
      <c r="G131" s="122">
        <v>368355</v>
      </c>
    </row>
    <row r="132" spans="2:7" ht="13.7" customHeight="1">
      <c r="B132" s="5" t="s">
        <v>410</v>
      </c>
      <c r="C132" s="121" t="s">
        <v>290</v>
      </c>
      <c r="D132" s="122">
        <v>15997436</v>
      </c>
      <c r="E132" s="138" t="s">
        <v>411</v>
      </c>
      <c r="F132" s="121" t="s">
        <v>412</v>
      </c>
      <c r="G132" s="122">
        <v>0</v>
      </c>
    </row>
    <row r="133" spans="2:7" ht="13.7" customHeight="1">
      <c r="B133" s="5" t="s">
        <v>413</v>
      </c>
      <c r="C133" s="121" t="s">
        <v>294</v>
      </c>
      <c r="D133" s="122">
        <v>132632</v>
      </c>
      <c r="E133" s="138" t="s">
        <v>414</v>
      </c>
      <c r="F133" s="121" t="s">
        <v>415</v>
      </c>
      <c r="G133" s="122">
        <v>0</v>
      </c>
    </row>
    <row r="134" spans="2:7" ht="13.7" customHeight="1">
      <c r="B134" s="5" t="s">
        <v>416</v>
      </c>
      <c r="C134" s="121" t="s">
        <v>417</v>
      </c>
      <c r="D134" s="122">
        <v>991851</v>
      </c>
      <c r="E134" s="138" t="s">
        <v>418</v>
      </c>
      <c r="F134" s="121" t="s">
        <v>419</v>
      </c>
      <c r="G134" s="122">
        <v>0</v>
      </c>
    </row>
    <row r="135" spans="2:7" ht="13.7" customHeight="1">
      <c r="B135" s="5" t="s">
        <v>420</v>
      </c>
      <c r="C135" s="121" t="s">
        <v>421</v>
      </c>
      <c r="D135" s="122">
        <v>1264697</v>
      </c>
      <c r="E135" s="138" t="s">
        <v>422</v>
      </c>
      <c r="F135" s="121" t="s">
        <v>423</v>
      </c>
      <c r="G135" s="122">
        <v>0</v>
      </c>
    </row>
    <row r="136" spans="2:7" ht="13.7" customHeight="1">
      <c r="B136" s="5" t="s">
        <v>424</v>
      </c>
      <c r="C136" s="121" t="s">
        <v>317</v>
      </c>
      <c r="D136" s="122">
        <v>12545704</v>
      </c>
      <c r="E136" s="138" t="s">
        <v>425</v>
      </c>
      <c r="F136" s="121" t="s">
        <v>426</v>
      </c>
      <c r="G136" s="122">
        <v>1333637</v>
      </c>
    </row>
    <row r="137" spans="2:7" ht="13.7" customHeight="1">
      <c r="B137" s="5" t="s">
        <v>427</v>
      </c>
      <c r="C137" s="78" t="s">
        <v>319</v>
      </c>
      <c r="D137" s="124">
        <v>1276789</v>
      </c>
      <c r="E137" s="138" t="s">
        <v>428</v>
      </c>
      <c r="F137" s="121" t="s">
        <v>429</v>
      </c>
      <c r="G137" s="122">
        <v>57996671</v>
      </c>
    </row>
    <row r="138" spans="2:7" ht="13.7" customHeight="1" thickBot="1">
      <c r="B138" s="5"/>
      <c r="C138" s="85" t="s">
        <v>320</v>
      </c>
      <c r="D138" s="94">
        <f>SUM(D127:D137)</f>
        <v>35564707</v>
      </c>
      <c r="E138" s="138" t="s">
        <v>430</v>
      </c>
      <c r="F138" s="78" t="s">
        <v>431</v>
      </c>
      <c r="G138" s="79">
        <v>2574463</v>
      </c>
    </row>
    <row r="139" spans="2:7" ht="13.7" customHeight="1" thickBot="1">
      <c r="B139" s="5" t="s">
        <v>432</v>
      </c>
      <c r="C139" s="119" t="s">
        <v>326</v>
      </c>
      <c r="D139" s="120">
        <v>0</v>
      </c>
      <c r="E139" s="228"/>
      <c r="F139" s="85" t="s">
        <v>433</v>
      </c>
      <c r="G139" s="94">
        <f>SUM(G124:G138)</f>
        <v>71711135</v>
      </c>
    </row>
    <row r="140" spans="2:7" ht="13.7" customHeight="1" thickBot="1">
      <c r="B140" s="5" t="s">
        <v>434</v>
      </c>
      <c r="C140" s="121" t="s">
        <v>328</v>
      </c>
      <c r="D140" s="122">
        <v>1470501</v>
      </c>
      <c r="E140" s="228"/>
      <c r="F140" s="110" t="s">
        <v>435</v>
      </c>
      <c r="G140" s="126">
        <f>G123-G139</f>
        <v>-42756708</v>
      </c>
    </row>
    <row r="141" spans="2:7" ht="13.7" customHeight="1">
      <c r="B141" s="5" t="s">
        <v>436</v>
      </c>
      <c r="C141" s="78" t="s">
        <v>330</v>
      </c>
      <c r="D141" s="124">
        <v>54758</v>
      </c>
      <c r="E141" s="229"/>
      <c r="F141" s="116"/>
      <c r="G141" s="116"/>
    </row>
    <row r="142" spans="2:7" ht="13.7" customHeight="1" thickBot="1">
      <c r="B142" s="5"/>
      <c r="C142" s="85" t="s">
        <v>331</v>
      </c>
      <c r="D142" s="94">
        <f>SUM(D139:D141)</f>
        <v>1525259</v>
      </c>
      <c r="E142" s="229"/>
      <c r="F142" s="116"/>
      <c r="G142" s="116"/>
    </row>
    <row r="143" spans="2:7" ht="13.5" customHeight="1" thickBot="1">
      <c r="B143" s="5"/>
      <c r="C143" s="110" t="s">
        <v>332</v>
      </c>
      <c r="D143" s="126">
        <f>[26]Amortizaciones!D33</f>
        <v>4738276</v>
      </c>
      <c r="E143" s="138"/>
      <c r="F143" s="72" t="s">
        <v>437</v>
      </c>
      <c r="G143" s="118">
        <f>+[26]E.S.P.!D6</f>
        <v>2021</v>
      </c>
    </row>
    <row r="144" spans="2:7" ht="13.7" customHeight="1">
      <c r="B144" s="5" t="s">
        <v>438</v>
      </c>
      <c r="C144" s="119" t="s">
        <v>439</v>
      </c>
      <c r="D144" s="120">
        <v>4520117</v>
      </c>
      <c r="E144" s="138" t="s">
        <v>440</v>
      </c>
      <c r="F144" s="119" t="s">
        <v>441</v>
      </c>
      <c r="G144" s="120">
        <v>52226151</v>
      </c>
    </row>
    <row r="145" spans="2:7" ht="13.7" customHeight="1">
      <c r="B145" s="5" t="s">
        <v>442</v>
      </c>
      <c r="C145" s="121" t="s">
        <v>443</v>
      </c>
      <c r="D145" s="122">
        <v>3142792</v>
      </c>
      <c r="E145" s="138" t="s">
        <v>444</v>
      </c>
      <c r="F145" s="121" t="s">
        <v>445</v>
      </c>
      <c r="G145" s="122">
        <v>21462551</v>
      </c>
    </row>
    <row r="146" spans="2:7" ht="13.7" customHeight="1">
      <c r="B146" s="5" t="s">
        <v>446</v>
      </c>
      <c r="C146" s="128" t="s">
        <v>447</v>
      </c>
      <c r="D146" s="122">
        <v>0</v>
      </c>
      <c r="E146" s="138" t="s">
        <v>448</v>
      </c>
      <c r="F146" s="121" t="s">
        <v>449</v>
      </c>
      <c r="G146" s="122">
        <v>45110132</v>
      </c>
    </row>
    <row r="147" spans="2:7" ht="13.7" customHeight="1">
      <c r="B147" s="5" t="s">
        <v>450</v>
      </c>
      <c r="C147" s="78" t="s">
        <v>451</v>
      </c>
      <c r="D147" s="124">
        <v>285346</v>
      </c>
      <c r="E147" s="138" t="s">
        <v>452</v>
      </c>
      <c r="F147" s="121" t="s">
        <v>453</v>
      </c>
      <c r="G147" s="122">
        <v>0</v>
      </c>
    </row>
    <row r="148" spans="2:7" ht="13.7" customHeight="1" thickBot="1">
      <c r="B148" s="5"/>
      <c r="C148" s="85" t="s">
        <v>518</v>
      </c>
      <c r="D148" s="94">
        <f>SUM(D144:D147)</f>
        <v>7948255</v>
      </c>
      <c r="E148" s="138" t="s">
        <v>454</v>
      </c>
      <c r="F148" s="121" t="s">
        <v>455</v>
      </c>
      <c r="G148" s="122">
        <v>0</v>
      </c>
    </row>
    <row r="149" spans="2:7" ht="13.7" customHeight="1">
      <c r="B149" s="5" t="s">
        <v>456</v>
      </c>
      <c r="C149" s="119" t="s">
        <v>457</v>
      </c>
      <c r="D149" s="120">
        <v>2064762</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76886</v>
      </c>
      <c r="E151" s="138" t="s">
        <v>466</v>
      </c>
      <c r="F151" s="121" t="s">
        <v>467</v>
      </c>
      <c r="G151" s="122">
        <v>0</v>
      </c>
    </row>
    <row r="152" spans="2:7" ht="13.7" customHeight="1" thickBot="1">
      <c r="B152" s="5"/>
      <c r="C152" s="85" t="s">
        <v>516</v>
      </c>
      <c r="D152" s="94">
        <f>SUM(D149:D151)</f>
        <v>2141648</v>
      </c>
      <c r="E152" s="138" t="s">
        <v>469</v>
      </c>
      <c r="F152" s="121" t="s">
        <v>470</v>
      </c>
      <c r="G152" s="122">
        <v>0</v>
      </c>
    </row>
    <row r="153" spans="2:7" ht="15" customHeight="1" thickBot="1">
      <c r="B153" s="5"/>
      <c r="C153" s="110" t="s">
        <v>471</v>
      </c>
      <c r="D153" s="129">
        <f>D122+D126+D138+D142+D143+D148+D152</f>
        <v>150997031</v>
      </c>
      <c r="E153" s="138" t="s">
        <v>472</v>
      </c>
      <c r="F153" s="78" t="s">
        <v>473</v>
      </c>
      <c r="G153" s="79">
        <v>4423748</v>
      </c>
    </row>
    <row r="154" spans="2:7" ht="13.7" customHeight="1" thickBot="1">
      <c r="B154" s="5"/>
      <c r="C154" s="116"/>
      <c r="D154" s="116"/>
      <c r="E154" s="138"/>
      <c r="F154" s="85" t="s">
        <v>474</v>
      </c>
      <c r="G154" s="94">
        <f>SUM(G144:G153)</f>
        <v>123222582</v>
      </c>
    </row>
    <row r="155" spans="2:7" ht="13.5" customHeight="1" thickBot="1">
      <c r="B155" s="5"/>
      <c r="C155" s="72" t="s">
        <v>475</v>
      </c>
      <c r="D155" s="103">
        <f>G109-D153</f>
        <v>-99883920</v>
      </c>
      <c r="E155" s="138" t="s">
        <v>476</v>
      </c>
      <c r="F155" s="119" t="s">
        <v>477</v>
      </c>
      <c r="G155" s="120">
        <v>0</v>
      </c>
    </row>
    <row r="156" spans="2:7" ht="13.7" customHeight="1">
      <c r="C156" s="116"/>
      <c r="D156" s="116"/>
      <c r="E156" s="138" t="s">
        <v>478</v>
      </c>
      <c r="F156" s="121" t="s">
        <v>479</v>
      </c>
      <c r="G156" s="122">
        <v>25606</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38966236</v>
      </c>
    </row>
    <row r="166" spans="3:7" ht="13.7" customHeight="1">
      <c r="C166" s="116"/>
      <c r="D166" s="116"/>
      <c r="E166" s="138" t="s">
        <v>498</v>
      </c>
      <c r="F166" s="121" t="s">
        <v>499</v>
      </c>
      <c r="G166" s="122">
        <v>31767</v>
      </c>
    </row>
    <row r="167" spans="3:7" ht="13.7" customHeight="1">
      <c r="C167" s="116"/>
      <c r="D167" s="116"/>
      <c r="E167" s="138" t="s">
        <v>500</v>
      </c>
      <c r="F167" s="78" t="s">
        <v>501</v>
      </c>
      <c r="G167" s="79">
        <v>2137</v>
      </c>
    </row>
    <row r="168" spans="3:7" ht="13.7" customHeight="1" thickBot="1">
      <c r="C168" s="116"/>
      <c r="D168" s="116"/>
      <c r="E168" s="138"/>
      <c r="F168" s="85" t="s">
        <v>502</v>
      </c>
      <c r="G168" s="94">
        <f>SUM(G155:G167)</f>
        <v>39025746</v>
      </c>
    </row>
    <row r="169" spans="3:7" ht="13.7" customHeight="1" thickBot="1">
      <c r="C169" s="116"/>
      <c r="D169" s="116"/>
      <c r="E169" s="138"/>
      <c r="F169" s="110" t="s">
        <v>503</v>
      </c>
      <c r="G169" s="126">
        <f>G154-G168</f>
        <v>84196836</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-58443792</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-56629</v>
      </c>
    </row>
    <row r="178" spans="1:8" ht="13.7" customHeight="1" thickBot="1">
      <c r="C178" s="116"/>
      <c r="D178" s="116"/>
      <c r="E178" s="138"/>
      <c r="F178" s="72" t="s">
        <v>509</v>
      </c>
      <c r="G178" s="103">
        <f>SUM(G175:G177)</f>
        <v>-56629</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-58500421</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23" priority="4" stopIfTrue="1" operator="greaterThan">
      <formula>50</formula>
    </cfRule>
    <cfRule type="cellIs" dxfId="222" priority="13" stopIfTrue="1" operator="equal">
      <formula>0</formula>
    </cfRule>
  </conditionalFormatting>
  <conditionalFormatting sqref="D7:D61">
    <cfRule type="cellIs" dxfId="221" priority="11" stopIfTrue="1" operator="between">
      <formula>-0.1</formula>
      <formula>-50</formula>
    </cfRule>
    <cfRule type="cellIs" dxfId="220" priority="12" stopIfTrue="1" operator="between">
      <formula>0.1</formula>
      <formula>50</formula>
    </cfRule>
  </conditionalFormatting>
  <conditionalFormatting sqref="G152:G181 G7:G150">
    <cfRule type="cellIs" dxfId="219" priority="9" stopIfTrue="1" operator="between">
      <formula>-0.1</formula>
      <formula>-50</formula>
    </cfRule>
    <cfRule type="cellIs" dxfId="218" priority="10" stopIfTrue="1" operator="between">
      <formula>0.1</formula>
      <formula>50</formula>
    </cfRule>
  </conditionalFormatting>
  <conditionalFormatting sqref="D111:D155">
    <cfRule type="cellIs" dxfId="217" priority="7" stopIfTrue="1" operator="between">
      <formula>-0.1</formula>
      <formula>-50</formula>
    </cfRule>
    <cfRule type="cellIs" dxfId="216" priority="8" stopIfTrue="1" operator="between">
      <formula>0.1</formula>
      <formula>50</formula>
    </cfRule>
  </conditionalFormatting>
  <conditionalFormatting sqref="G165">
    <cfRule type="expression" dxfId="215" priority="6" stopIfTrue="1">
      <formula>AND($G$165&gt;0,$G$151&gt;0)</formula>
    </cfRule>
  </conditionalFormatting>
  <conditionalFormatting sqref="G151">
    <cfRule type="expression" dxfId="214" priority="3"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D13:D55 G144:G150 G178:G181 G166:G174">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5" sqref="C5"/>
    </sheetView>
  </sheetViews>
  <sheetFormatPr baseColWidth="10" defaultColWidth="0" defaultRowHeight="15.75" zeroHeight="1"/>
  <cols>
    <col min="1" max="1" width="3" style="1" customWidth="1"/>
    <col min="2" max="2" width="14.28515625" style="6" hidden="1" customWidth="1"/>
    <col min="3" max="3" width="56.85546875" style="19" customWidth="1"/>
    <col min="4" max="4" width="21" style="19" customWidth="1"/>
    <col min="5" max="5" width="3.85546875" style="13" customWidth="1"/>
    <col min="6" max="6" width="57.28515625" style="19" customWidth="1"/>
    <col min="7" max="7" width="21" style="19" customWidth="1"/>
    <col min="8" max="8" width="3.7109375" style="4" customWidth="1"/>
    <col min="9" max="16384" width="0" style="4" hidden="1"/>
  </cols>
  <sheetData>
    <row r="1" spans="1:9">
      <c r="B1" s="2"/>
      <c r="C1" s="255" t="s">
        <v>0</v>
      </c>
      <c r="D1" s="258"/>
      <c r="E1" s="253" t="str">
        <f>[27]Presentacion!C3</f>
        <v>AMEDRIN - IAMPP</v>
      </c>
      <c r="F1" s="253"/>
      <c r="G1" s="136"/>
      <c r="H1" s="3"/>
    </row>
    <row r="2" spans="1:9">
      <c r="B2" s="5"/>
      <c r="C2" s="255" t="s">
        <v>1</v>
      </c>
      <c r="D2" s="258"/>
      <c r="E2" s="253" t="str">
        <f>[27]Presentacion!C4</f>
        <v>Rio Negro</v>
      </c>
      <c r="F2" s="253"/>
      <c r="G2" s="136"/>
      <c r="H2" s="3"/>
    </row>
    <row r="3" spans="1:9">
      <c r="B3" s="5"/>
      <c r="C3" s="255" t="s">
        <v>2</v>
      </c>
      <c r="D3" s="255"/>
      <c r="E3" s="254" t="s">
        <v>3</v>
      </c>
      <c r="F3" s="254"/>
      <c r="G3" s="136"/>
      <c r="H3" s="3"/>
    </row>
    <row r="4" spans="1:9" ht="7.5" customHeight="1" thickBot="1">
      <c r="C4" s="65"/>
      <c r="D4" s="7"/>
      <c r="E4" s="8"/>
      <c r="F4" s="9"/>
      <c r="G4" s="10"/>
    </row>
    <row r="5" spans="1:9" ht="18" customHeight="1" thickBot="1">
      <c r="B5" s="11"/>
      <c r="C5" s="72" t="s">
        <v>4</v>
      </c>
      <c r="D5" s="73" t="s">
        <v>5</v>
      </c>
      <c r="E5" s="137"/>
      <c r="F5" s="72" t="s">
        <v>6</v>
      </c>
      <c r="G5" s="73" t="s">
        <v>5</v>
      </c>
      <c r="I5" s="12"/>
    </row>
    <row r="6" spans="1:9" ht="12.75" customHeight="1" thickBot="1">
      <c r="B6" s="11"/>
      <c r="C6" s="75" t="s">
        <v>7</v>
      </c>
      <c r="D6" s="76">
        <f>+[27]E.S.P.!D6</f>
        <v>2021</v>
      </c>
      <c r="E6" s="138"/>
      <c r="F6" s="75" t="s">
        <v>8</v>
      </c>
      <c r="G6" s="76">
        <f>+D6</f>
        <v>2021</v>
      </c>
      <c r="H6" s="12"/>
    </row>
    <row r="7" spans="1:9">
      <c r="B7" s="5" t="s">
        <v>9</v>
      </c>
      <c r="C7" s="78" t="s">
        <v>10</v>
      </c>
      <c r="D7" s="79">
        <v>9747281</v>
      </c>
      <c r="E7" s="138" t="s">
        <v>11</v>
      </c>
      <c r="F7" s="80" t="s">
        <v>12</v>
      </c>
      <c r="G7" s="81">
        <v>2228535</v>
      </c>
    </row>
    <row r="8" spans="1:9">
      <c r="B8" s="5" t="s">
        <v>13</v>
      </c>
      <c r="C8" s="78" t="s">
        <v>14</v>
      </c>
      <c r="D8" s="79">
        <v>24973423</v>
      </c>
      <c r="E8" s="138" t="s">
        <v>15</v>
      </c>
      <c r="F8" s="78" t="s">
        <v>16</v>
      </c>
      <c r="G8" s="82">
        <v>40427666</v>
      </c>
    </row>
    <row r="9" spans="1:9">
      <c r="B9" s="5" t="s">
        <v>17</v>
      </c>
      <c r="C9" s="78" t="s">
        <v>18</v>
      </c>
      <c r="D9" s="79">
        <v>274610805</v>
      </c>
      <c r="E9" s="138" t="s">
        <v>19</v>
      </c>
      <c r="F9" s="78" t="s">
        <v>20</v>
      </c>
      <c r="G9" s="79">
        <v>0</v>
      </c>
    </row>
    <row r="10" spans="1:9">
      <c r="B10" s="5" t="s">
        <v>21</v>
      </c>
      <c r="C10" s="78" t="s">
        <v>22</v>
      </c>
      <c r="D10" s="79">
        <v>30163094</v>
      </c>
      <c r="E10" s="138" t="s">
        <v>23</v>
      </c>
      <c r="F10" s="78" t="s">
        <v>24</v>
      </c>
      <c r="G10" s="79">
        <v>67815222</v>
      </c>
    </row>
    <row r="11" spans="1:9">
      <c r="B11" s="5" t="s">
        <v>25</v>
      </c>
      <c r="C11" s="78" t="s">
        <v>26</v>
      </c>
      <c r="D11" s="79">
        <v>5181927</v>
      </c>
      <c r="E11" s="138" t="s">
        <v>27</v>
      </c>
      <c r="F11" s="78" t="s">
        <v>28</v>
      </c>
      <c r="G11" s="79">
        <v>0</v>
      </c>
    </row>
    <row r="12" spans="1:9">
      <c r="B12" s="5" t="s">
        <v>29</v>
      </c>
      <c r="C12" s="78" t="s">
        <v>30</v>
      </c>
      <c r="D12" s="79">
        <v>8474142</v>
      </c>
      <c r="E12" s="138" t="s">
        <v>31</v>
      </c>
      <c r="F12" s="78" t="s">
        <v>32</v>
      </c>
      <c r="G12" s="79">
        <v>42773753</v>
      </c>
    </row>
    <row r="13" spans="1:9">
      <c r="B13" s="5" t="s">
        <v>33</v>
      </c>
      <c r="C13" s="78" t="s">
        <v>34</v>
      </c>
      <c r="D13" s="79">
        <v>224567</v>
      </c>
      <c r="E13" s="138" t="s">
        <v>35</v>
      </c>
      <c r="F13" s="78" t="s">
        <v>36</v>
      </c>
      <c r="G13" s="79">
        <v>0</v>
      </c>
    </row>
    <row r="14" spans="1:9">
      <c r="A14" s="14"/>
      <c r="B14" s="5" t="s">
        <v>37</v>
      </c>
      <c r="C14" s="78" t="s">
        <v>38</v>
      </c>
      <c r="D14" s="79">
        <v>6694877</v>
      </c>
      <c r="E14" s="138" t="s">
        <v>39</v>
      </c>
      <c r="F14" s="78" t="s">
        <v>40</v>
      </c>
      <c r="G14" s="79">
        <v>41206486</v>
      </c>
    </row>
    <row r="15" spans="1:9">
      <c r="B15" s="5" t="s">
        <v>41</v>
      </c>
      <c r="C15" s="83" t="s">
        <v>42</v>
      </c>
      <c r="D15" s="79">
        <v>285386</v>
      </c>
      <c r="E15" s="138" t="s">
        <v>43</v>
      </c>
      <c r="F15" s="78" t="s">
        <v>44</v>
      </c>
      <c r="G15" s="79">
        <v>5280849</v>
      </c>
    </row>
    <row r="16" spans="1:9">
      <c r="B16" s="5" t="s">
        <v>45</v>
      </c>
      <c r="C16" s="78" t="s">
        <v>46</v>
      </c>
      <c r="D16" s="79">
        <v>0</v>
      </c>
      <c r="E16" s="138" t="s">
        <v>47</v>
      </c>
      <c r="F16" s="78" t="s">
        <v>48</v>
      </c>
      <c r="G16" s="79">
        <v>23470188</v>
      </c>
    </row>
    <row r="17" spans="1:7">
      <c r="B17" s="5" t="s">
        <v>49</v>
      </c>
      <c r="C17" s="78" t="s">
        <v>50</v>
      </c>
      <c r="D17" s="79">
        <v>0</v>
      </c>
      <c r="E17" s="138" t="s">
        <v>51</v>
      </c>
      <c r="F17" s="78" t="s">
        <v>52</v>
      </c>
      <c r="G17" s="79">
        <v>0</v>
      </c>
    </row>
    <row r="18" spans="1:7">
      <c r="A18" s="14"/>
      <c r="B18" s="5" t="s">
        <v>53</v>
      </c>
      <c r="C18" s="78" t="s">
        <v>54</v>
      </c>
      <c r="D18" s="79">
        <f>3828767+2644946+9267887+2932077</f>
        <v>18673677</v>
      </c>
      <c r="E18" s="138" t="s">
        <v>55</v>
      </c>
      <c r="F18" s="78" t="s">
        <v>56</v>
      </c>
      <c r="G18" s="84">
        <v>7889347</v>
      </c>
    </row>
    <row r="19" spans="1:7" ht="16.5" thickBot="1">
      <c r="A19" s="14"/>
      <c r="B19" s="5" t="s">
        <v>57</v>
      </c>
      <c r="C19" s="78" t="s">
        <v>58</v>
      </c>
      <c r="D19" s="79">
        <f>11807264+413760</f>
        <v>12221024</v>
      </c>
      <c r="E19" s="138"/>
      <c r="F19" s="85" t="s">
        <v>59</v>
      </c>
      <c r="G19" s="86">
        <f>SUM(G7:G18)</f>
        <v>231092046</v>
      </c>
    </row>
    <row r="20" spans="1:7" ht="16.5" thickBot="1">
      <c r="B20" s="5"/>
      <c r="C20" s="85" t="s">
        <v>60</v>
      </c>
      <c r="D20" s="86">
        <f>SUM(D7:D19)</f>
        <v>391250203</v>
      </c>
      <c r="E20" s="138" t="s">
        <v>61</v>
      </c>
      <c r="F20" s="80" t="s">
        <v>62</v>
      </c>
      <c r="G20" s="81">
        <v>0</v>
      </c>
    </row>
    <row r="21" spans="1:7">
      <c r="B21" s="5"/>
      <c r="C21" s="87" t="s">
        <v>63</v>
      </c>
      <c r="D21" s="88">
        <f>SUM(D22:D28)</f>
        <v>2637870</v>
      </c>
      <c r="E21" s="138" t="s">
        <v>64</v>
      </c>
      <c r="F21" s="78" t="s">
        <v>65</v>
      </c>
      <c r="G21" s="79">
        <v>1526480</v>
      </c>
    </row>
    <row r="22" spans="1:7">
      <c r="B22" s="5" t="s">
        <v>66</v>
      </c>
      <c r="C22" s="78" t="s">
        <v>67</v>
      </c>
      <c r="D22" s="79">
        <v>1606318</v>
      </c>
      <c r="E22" s="138" t="s">
        <v>68</v>
      </c>
      <c r="F22" s="78" t="s">
        <v>69</v>
      </c>
      <c r="G22" s="79">
        <v>10772945</v>
      </c>
    </row>
    <row r="23" spans="1:7">
      <c r="B23" s="5" t="s">
        <v>70</v>
      </c>
      <c r="C23" s="78" t="s">
        <v>71</v>
      </c>
      <c r="D23" s="79">
        <v>40195</v>
      </c>
      <c r="E23" s="138" t="s">
        <v>72</v>
      </c>
      <c r="F23" s="78" t="s">
        <v>73</v>
      </c>
      <c r="G23" s="79">
        <v>0</v>
      </c>
    </row>
    <row r="24" spans="1:7">
      <c r="B24" s="5" t="s">
        <v>74</v>
      </c>
      <c r="C24" s="78" t="s">
        <v>75</v>
      </c>
      <c r="D24" s="79">
        <v>6680</v>
      </c>
      <c r="E24" s="138" t="s">
        <v>76</v>
      </c>
      <c r="F24" s="78" t="s">
        <v>77</v>
      </c>
      <c r="G24" s="79">
        <v>1291873</v>
      </c>
    </row>
    <row r="25" spans="1:7">
      <c r="B25" s="5" t="s">
        <v>78</v>
      </c>
      <c r="C25" s="78" t="s">
        <v>79</v>
      </c>
      <c r="D25" s="79">
        <v>704255</v>
      </c>
      <c r="E25" s="138" t="s">
        <v>80</v>
      </c>
      <c r="F25" s="78" t="s">
        <v>81</v>
      </c>
      <c r="G25" s="79">
        <v>1957290</v>
      </c>
    </row>
    <row r="26" spans="1:7">
      <c r="B26" s="5" t="s">
        <v>82</v>
      </c>
      <c r="C26" s="78" t="s">
        <v>83</v>
      </c>
      <c r="D26" s="79">
        <v>33160</v>
      </c>
      <c r="E26" s="138" t="s">
        <v>84</v>
      </c>
      <c r="F26" s="78" t="s">
        <v>85</v>
      </c>
      <c r="G26" s="84">
        <v>540051</v>
      </c>
    </row>
    <row r="27" spans="1:7" ht="13.5" customHeight="1" thickBot="1">
      <c r="B27" s="5" t="s">
        <v>86</v>
      </c>
      <c r="C27" s="78" t="s">
        <v>87</v>
      </c>
      <c r="D27" s="79">
        <v>178417</v>
      </c>
      <c r="E27" s="138"/>
      <c r="F27" s="85" t="s">
        <v>88</v>
      </c>
      <c r="G27" s="86">
        <f>SUM(G20:G26)</f>
        <v>16088639</v>
      </c>
    </row>
    <row r="28" spans="1:7">
      <c r="B28" s="5" t="s">
        <v>89</v>
      </c>
      <c r="C28" s="78" t="s">
        <v>90</v>
      </c>
      <c r="D28" s="79">
        <v>68845</v>
      </c>
      <c r="E28" s="138" t="s">
        <v>91</v>
      </c>
      <c r="F28" s="80" t="s">
        <v>92</v>
      </c>
      <c r="G28" s="81">
        <f>25778432+1737942</f>
        <v>27516374</v>
      </c>
    </row>
    <row r="29" spans="1:7">
      <c r="B29" s="5"/>
      <c r="C29" s="89" t="s">
        <v>93</v>
      </c>
      <c r="D29" s="88">
        <f>SUM(D30:D34)</f>
        <v>20854480</v>
      </c>
      <c r="E29" s="138" t="s">
        <v>94</v>
      </c>
      <c r="F29" s="78" t="s">
        <v>95</v>
      </c>
      <c r="G29" s="79">
        <v>512906</v>
      </c>
    </row>
    <row r="30" spans="1:7">
      <c r="B30" s="5" t="s">
        <v>96</v>
      </c>
      <c r="C30" s="78" t="s">
        <v>97</v>
      </c>
      <c r="D30" s="79">
        <v>18285150</v>
      </c>
      <c r="E30" s="138" t="s">
        <v>98</v>
      </c>
      <c r="F30" s="78" t="s">
        <v>99</v>
      </c>
      <c r="G30" s="79">
        <f>2129718+2845254</f>
        <v>4974972</v>
      </c>
    </row>
    <row r="31" spans="1:7">
      <c r="B31" s="5" t="s">
        <v>100</v>
      </c>
      <c r="C31" s="78" t="s">
        <v>101</v>
      </c>
      <c r="D31" s="79">
        <v>893737</v>
      </c>
      <c r="E31" s="138" t="s">
        <v>102</v>
      </c>
      <c r="F31" s="78" t="s">
        <v>103</v>
      </c>
      <c r="G31" s="84">
        <v>1142718</v>
      </c>
    </row>
    <row r="32" spans="1:7" ht="16.5" thickBot="1">
      <c r="B32" s="5" t="s">
        <v>104</v>
      </c>
      <c r="C32" s="78" t="s">
        <v>105</v>
      </c>
      <c r="D32" s="79">
        <v>661</v>
      </c>
      <c r="E32" s="138"/>
      <c r="F32" s="85" t="s">
        <v>106</v>
      </c>
      <c r="G32" s="86">
        <f>SUM(G28:G31)</f>
        <v>34146970</v>
      </c>
    </row>
    <row r="33" spans="2:7">
      <c r="B33" s="5" t="s">
        <v>107</v>
      </c>
      <c r="C33" s="78" t="s">
        <v>108</v>
      </c>
      <c r="D33" s="79">
        <f>995860-1153</f>
        <v>994707</v>
      </c>
      <c r="E33" s="138"/>
      <c r="F33" s="89" t="s">
        <v>109</v>
      </c>
      <c r="G33" s="88">
        <f>SUM(G34:G39)</f>
        <v>24069639.800000001</v>
      </c>
    </row>
    <row r="34" spans="2:7">
      <c r="B34" s="5" t="s">
        <v>110</v>
      </c>
      <c r="C34" s="78" t="s">
        <v>111</v>
      </c>
      <c r="D34" s="79">
        <v>680225</v>
      </c>
      <c r="E34" s="138" t="s">
        <v>112</v>
      </c>
      <c r="F34" s="78" t="s">
        <v>113</v>
      </c>
      <c r="G34" s="79">
        <f>24069640*0.15</f>
        <v>3610446</v>
      </c>
    </row>
    <row r="35" spans="2:7" ht="16.5" thickBot="1">
      <c r="B35" s="5"/>
      <c r="C35" s="85" t="s">
        <v>114</v>
      </c>
      <c r="D35" s="86">
        <f>+D21+D29</f>
        <v>23492350</v>
      </c>
      <c r="E35" s="138" t="s">
        <v>115</v>
      </c>
      <c r="F35" s="78" t="s">
        <v>116</v>
      </c>
      <c r="G35" s="79">
        <f>24069640*0.02</f>
        <v>481392.8</v>
      </c>
    </row>
    <row r="36" spans="2:7">
      <c r="B36" s="5" t="s">
        <v>117</v>
      </c>
      <c r="C36" s="78" t="s">
        <v>118</v>
      </c>
      <c r="D36" s="79">
        <v>0</v>
      </c>
      <c r="E36" s="138" t="s">
        <v>119</v>
      </c>
      <c r="F36" s="78" t="s">
        <v>517</v>
      </c>
      <c r="G36" s="79">
        <f>24069640*0.2</f>
        <v>4813928</v>
      </c>
    </row>
    <row r="37" spans="2:7">
      <c r="B37" s="5" t="s">
        <v>120</v>
      </c>
      <c r="C37" s="78" t="s">
        <v>121</v>
      </c>
      <c r="D37" s="79">
        <v>34665351</v>
      </c>
      <c r="E37" s="138" t="s">
        <v>122</v>
      </c>
      <c r="F37" s="78" t="s">
        <v>123</v>
      </c>
      <c r="G37" s="79">
        <f>24069640*0.2</f>
        <v>4813928</v>
      </c>
    </row>
    <row r="38" spans="2:7">
      <c r="B38" s="5" t="s">
        <v>124</v>
      </c>
      <c r="C38" s="78" t="s">
        <v>125</v>
      </c>
      <c r="D38" s="79">
        <v>0</v>
      </c>
      <c r="E38" s="138" t="s">
        <v>126</v>
      </c>
      <c r="F38" s="78" t="s">
        <v>127</v>
      </c>
      <c r="G38" s="79">
        <f>24069640*0.3</f>
        <v>7220892</v>
      </c>
    </row>
    <row r="39" spans="2:7">
      <c r="B39" s="5" t="s">
        <v>128</v>
      </c>
      <c r="C39" s="78" t="s">
        <v>129</v>
      </c>
      <c r="D39" s="79">
        <v>0</v>
      </c>
      <c r="E39" s="138" t="s">
        <v>130</v>
      </c>
      <c r="F39" s="78" t="s">
        <v>131</v>
      </c>
      <c r="G39" s="79">
        <f>24069640-20940587</f>
        <v>3129053</v>
      </c>
    </row>
    <row r="40" spans="2:7">
      <c r="B40" s="5" t="s">
        <v>132</v>
      </c>
      <c r="C40" s="78" t="s">
        <v>133</v>
      </c>
      <c r="D40" s="79">
        <v>210606</v>
      </c>
      <c r="E40" s="138"/>
      <c r="F40" s="90" t="s">
        <v>134</v>
      </c>
      <c r="G40" s="91">
        <f>SUM(G41:G46)</f>
        <v>3502693.3</v>
      </c>
    </row>
    <row r="41" spans="2:7">
      <c r="B41" s="5" t="s">
        <v>135</v>
      </c>
      <c r="C41" s="78" t="s">
        <v>136</v>
      </c>
      <c r="D41" s="79">
        <v>0</v>
      </c>
      <c r="E41" s="138" t="s">
        <v>137</v>
      </c>
      <c r="F41" s="78" t="s">
        <v>138</v>
      </c>
      <c r="G41" s="79">
        <f>3502693*0.1</f>
        <v>350269.30000000005</v>
      </c>
    </row>
    <row r="42" spans="2:7">
      <c r="B42" s="5" t="s">
        <v>139</v>
      </c>
      <c r="C42" s="78" t="s">
        <v>140</v>
      </c>
      <c r="D42" s="79">
        <f>59950+3485400</f>
        <v>3545350</v>
      </c>
      <c r="E42" s="138" t="s">
        <v>141</v>
      </c>
      <c r="F42" s="78" t="s">
        <v>142</v>
      </c>
      <c r="G42" s="79">
        <v>0</v>
      </c>
    </row>
    <row r="43" spans="2:7">
      <c r="B43" s="5" t="s">
        <v>143</v>
      </c>
      <c r="C43" s="78" t="s">
        <v>144</v>
      </c>
      <c r="D43" s="79">
        <v>0</v>
      </c>
      <c r="E43" s="138" t="s">
        <v>145</v>
      </c>
      <c r="F43" s="78" t="s">
        <v>146</v>
      </c>
      <c r="G43" s="79">
        <f>3152424/3+300000</f>
        <v>1350808</v>
      </c>
    </row>
    <row r="44" spans="2:7">
      <c r="B44" s="5" t="s">
        <v>147</v>
      </c>
      <c r="C44" s="78" t="s">
        <v>148</v>
      </c>
      <c r="D44" s="79">
        <v>0</v>
      </c>
      <c r="E44" s="138" t="s">
        <v>149</v>
      </c>
      <c r="F44" s="78" t="s">
        <v>150</v>
      </c>
      <c r="G44" s="79">
        <v>350269</v>
      </c>
    </row>
    <row r="45" spans="2:7">
      <c r="B45" s="5" t="s">
        <v>151</v>
      </c>
      <c r="C45" s="78" t="s">
        <v>152</v>
      </c>
      <c r="D45" s="79">
        <f>4225675</f>
        <v>4225675</v>
      </c>
      <c r="E45" s="138" t="s">
        <v>153</v>
      </c>
      <c r="F45" s="78" t="s">
        <v>154</v>
      </c>
      <c r="G45" s="79">
        <v>1050808</v>
      </c>
    </row>
    <row r="46" spans="2:7">
      <c r="B46" s="5" t="s">
        <v>155</v>
      </c>
      <c r="C46" s="78" t="s">
        <v>156</v>
      </c>
      <c r="D46" s="79">
        <v>1253672</v>
      </c>
      <c r="E46" s="138" t="s">
        <v>157</v>
      </c>
      <c r="F46" s="78" t="s">
        <v>158</v>
      </c>
      <c r="G46" s="79">
        <f>3502693-350269-1050808-350269-1050808-300000</f>
        <v>400539</v>
      </c>
    </row>
    <row r="47" spans="2:7" ht="16.5" thickBot="1">
      <c r="B47" s="5"/>
      <c r="C47" s="85" t="s">
        <v>159</v>
      </c>
      <c r="D47" s="86">
        <f>SUM(D36:D46)</f>
        <v>43900654</v>
      </c>
      <c r="E47" s="138" t="s">
        <v>160</v>
      </c>
      <c r="F47" s="78" t="s">
        <v>161</v>
      </c>
      <c r="G47" s="84">
        <v>882587</v>
      </c>
    </row>
    <row r="48" spans="2:7" ht="16.5" thickBot="1">
      <c r="B48" s="5"/>
      <c r="C48" s="92" t="s">
        <v>162</v>
      </c>
      <c r="D48" s="93"/>
      <c r="E48" s="138"/>
      <c r="F48" s="85" t="s">
        <v>163</v>
      </c>
      <c r="G48" s="94">
        <f>+G33+G40+G47</f>
        <v>28454920.100000001</v>
      </c>
    </row>
    <row r="49" spans="2:7">
      <c r="B49" s="5" t="s">
        <v>164</v>
      </c>
      <c r="C49" s="95" t="s">
        <v>165</v>
      </c>
      <c r="D49" s="96">
        <v>0</v>
      </c>
      <c r="E49" s="138" t="s">
        <v>166</v>
      </c>
      <c r="F49" s="80" t="s">
        <v>167</v>
      </c>
      <c r="G49" s="81">
        <v>8251615</v>
      </c>
    </row>
    <row r="50" spans="2:7">
      <c r="B50" s="5" t="s">
        <v>168</v>
      </c>
      <c r="C50" s="78" t="s">
        <v>162</v>
      </c>
      <c r="D50" s="79">
        <f>1823513</f>
        <v>1823513</v>
      </c>
      <c r="E50" s="138" t="s">
        <v>169</v>
      </c>
      <c r="F50" s="78" t="s">
        <v>170</v>
      </c>
      <c r="G50" s="79">
        <v>8449578</v>
      </c>
    </row>
    <row r="51" spans="2:7">
      <c r="B51" s="5" t="s">
        <v>171</v>
      </c>
      <c r="C51" s="78" t="s">
        <v>172</v>
      </c>
      <c r="D51" s="84">
        <v>117568</v>
      </c>
      <c r="E51" s="138" t="s">
        <v>173</v>
      </c>
      <c r="F51" s="78" t="s">
        <v>174</v>
      </c>
      <c r="G51" s="79">
        <v>1211103</v>
      </c>
    </row>
    <row r="52" spans="2:7" ht="16.5" thickBot="1">
      <c r="B52" s="11"/>
      <c r="C52" s="85" t="s">
        <v>175</v>
      </c>
      <c r="D52" s="86">
        <f>SUM(D49:D51)</f>
        <v>1941081</v>
      </c>
      <c r="E52" s="138" t="s">
        <v>176</v>
      </c>
      <c r="F52" s="78" t="s">
        <v>177</v>
      </c>
      <c r="G52" s="79">
        <v>0</v>
      </c>
    </row>
    <row r="53" spans="2:7" ht="16.5" thickBot="1">
      <c r="B53" s="5"/>
      <c r="C53" s="75" t="s">
        <v>178</v>
      </c>
      <c r="D53" s="97">
        <f>D20+D35+D47+D52</f>
        <v>460584288</v>
      </c>
      <c r="E53" s="138" t="s">
        <v>179</v>
      </c>
      <c r="F53" s="78" t="s">
        <v>180</v>
      </c>
      <c r="G53" s="79">
        <v>2763217</v>
      </c>
    </row>
    <row r="54" spans="2:7">
      <c r="C54" s="98"/>
      <c r="D54" s="99"/>
      <c r="E54" s="138" t="s">
        <v>181</v>
      </c>
      <c r="F54" s="78" t="s">
        <v>182</v>
      </c>
      <c r="G54" s="79">
        <v>179378</v>
      </c>
    </row>
    <row r="55" spans="2:7">
      <c r="C55" s="100" t="s">
        <v>183</v>
      </c>
      <c r="D55" s="101"/>
      <c r="E55" s="138" t="s">
        <v>184</v>
      </c>
      <c r="F55" s="78" t="s">
        <v>185</v>
      </c>
      <c r="G55" s="79">
        <v>3185578</v>
      </c>
    </row>
    <row r="56" spans="2:7">
      <c r="B56" s="5" t="s">
        <v>186</v>
      </c>
      <c r="C56" s="102" t="s">
        <v>187</v>
      </c>
      <c r="D56" s="79"/>
      <c r="E56" s="138" t="s">
        <v>188</v>
      </c>
      <c r="F56" s="78" t="s">
        <v>189</v>
      </c>
      <c r="G56" s="84">
        <v>793241</v>
      </c>
    </row>
    <row r="57" spans="2:7" ht="14.25" customHeight="1" thickBot="1">
      <c r="B57" s="5" t="s">
        <v>190</v>
      </c>
      <c r="C57" s="102" t="s">
        <v>191</v>
      </c>
      <c r="D57" s="79"/>
      <c r="E57" s="138"/>
      <c r="F57" s="85" t="s">
        <v>192</v>
      </c>
      <c r="G57" s="86">
        <f>SUM(G49:G56)</f>
        <v>24833710</v>
      </c>
    </row>
    <row r="58" spans="2:7">
      <c r="B58" s="5" t="s">
        <v>193</v>
      </c>
      <c r="C58" s="102" t="s">
        <v>194</v>
      </c>
      <c r="D58" s="79"/>
      <c r="E58" s="138" t="s">
        <v>195</v>
      </c>
      <c r="F58" s="80" t="s">
        <v>196</v>
      </c>
      <c r="G58" s="81">
        <f>12089193+4084180</f>
        <v>16173373</v>
      </c>
    </row>
    <row r="59" spans="2:7">
      <c r="B59" s="5" t="s">
        <v>197</v>
      </c>
      <c r="C59" s="78" t="s">
        <v>198</v>
      </c>
      <c r="D59" s="84"/>
      <c r="E59" s="138" t="s">
        <v>199</v>
      </c>
      <c r="F59" s="78" t="s">
        <v>200</v>
      </c>
      <c r="G59" s="79">
        <v>3105013</v>
      </c>
    </row>
    <row r="60" spans="2:7" ht="16.5" thickBot="1">
      <c r="B60" s="5"/>
      <c r="C60" s="85" t="s">
        <v>201</v>
      </c>
      <c r="D60" s="86">
        <f>SUM(D56:D59)</f>
        <v>0</v>
      </c>
      <c r="E60" s="138" t="s">
        <v>202</v>
      </c>
      <c r="F60" s="78" t="s">
        <v>203</v>
      </c>
      <c r="G60" s="79">
        <v>0</v>
      </c>
    </row>
    <row r="61" spans="2:7" ht="16.5" thickBot="1">
      <c r="B61" s="15"/>
      <c r="C61" s="72" t="s">
        <v>204</v>
      </c>
      <c r="D61" s="103">
        <f>D53+D60</f>
        <v>460584288</v>
      </c>
      <c r="E61" s="138" t="s">
        <v>205</v>
      </c>
      <c r="F61" s="78" t="s">
        <v>206</v>
      </c>
      <c r="G61" s="79">
        <v>0</v>
      </c>
    </row>
    <row r="62" spans="2:7">
      <c r="B62" s="16"/>
      <c r="C62" s="116"/>
      <c r="D62" s="116"/>
      <c r="E62" s="138" t="s">
        <v>207</v>
      </c>
      <c r="F62" s="78" t="s">
        <v>208</v>
      </c>
      <c r="G62" s="79">
        <v>0</v>
      </c>
    </row>
    <row r="63" spans="2:7">
      <c r="B63" s="17"/>
      <c r="C63" s="222" t="s">
        <v>8</v>
      </c>
      <c r="D63" s="222"/>
      <c r="E63" s="138" t="s">
        <v>209</v>
      </c>
      <c r="F63" s="78" t="s">
        <v>210</v>
      </c>
      <c r="G63" s="79">
        <v>2584221</v>
      </c>
    </row>
    <row r="64" spans="2:7">
      <c r="B64" s="18" t="s">
        <v>211</v>
      </c>
      <c r="C64" s="223" t="s">
        <v>212</v>
      </c>
      <c r="D64" s="223">
        <f>[27]Amortizaciones!D6</f>
        <v>4991244</v>
      </c>
      <c r="E64" s="138" t="s">
        <v>213</v>
      </c>
      <c r="F64" s="78" t="s">
        <v>214</v>
      </c>
      <c r="G64" s="79">
        <v>703931</v>
      </c>
    </row>
    <row r="65" spans="2:7">
      <c r="B65" s="18" t="s">
        <v>215</v>
      </c>
      <c r="C65" s="223" t="s">
        <v>216</v>
      </c>
      <c r="D65" s="223">
        <f>[27]Amortizaciones!D7</f>
        <v>0</v>
      </c>
      <c r="E65" s="138" t="s">
        <v>217</v>
      </c>
      <c r="F65" s="78" t="s">
        <v>218</v>
      </c>
      <c r="G65" s="79">
        <v>287666</v>
      </c>
    </row>
    <row r="66" spans="2:7">
      <c r="B66" s="18" t="s">
        <v>219</v>
      </c>
      <c r="C66" s="223" t="s">
        <v>220</v>
      </c>
      <c r="D66" s="223">
        <f>[27]Amortizaciones!D8</f>
        <v>0</v>
      </c>
      <c r="E66" s="138" t="s">
        <v>221</v>
      </c>
      <c r="F66" s="78" t="s">
        <v>222</v>
      </c>
      <c r="G66" s="79">
        <v>2270765</v>
      </c>
    </row>
    <row r="67" spans="2:7">
      <c r="B67" s="18" t="s">
        <v>223</v>
      </c>
      <c r="C67" s="223" t="s">
        <v>224</v>
      </c>
      <c r="D67" s="223">
        <f>[27]Amortizaciones!D9</f>
        <v>0</v>
      </c>
      <c r="E67" s="138" t="s">
        <v>225</v>
      </c>
      <c r="F67" s="78" t="s">
        <v>226</v>
      </c>
      <c r="G67" s="79">
        <v>1399672</v>
      </c>
    </row>
    <row r="68" spans="2:7">
      <c r="B68" s="18" t="s">
        <v>227</v>
      </c>
      <c r="C68" s="223" t="s">
        <v>228</v>
      </c>
      <c r="D68" s="223">
        <f>[27]Amortizaciones!D10</f>
        <v>529639</v>
      </c>
      <c r="E68" s="138" t="s">
        <v>229</v>
      </c>
      <c r="F68" s="78" t="s">
        <v>230</v>
      </c>
      <c r="G68" s="79">
        <v>0</v>
      </c>
    </row>
    <row r="69" spans="2:7">
      <c r="B69" s="18" t="s">
        <v>231</v>
      </c>
      <c r="C69" s="223" t="s">
        <v>232</v>
      </c>
      <c r="D69" s="223">
        <f>[27]Amortizaciones!D11</f>
        <v>1474396</v>
      </c>
      <c r="E69" s="138" t="s">
        <v>233</v>
      </c>
      <c r="F69" s="78" t="s">
        <v>234</v>
      </c>
      <c r="G69" s="79">
        <v>83058</v>
      </c>
    </row>
    <row r="70" spans="2:7">
      <c r="B70" s="18" t="s">
        <v>235</v>
      </c>
      <c r="C70" s="223" t="s">
        <v>236</v>
      </c>
      <c r="D70" s="223">
        <f>[27]Amortizaciones!D12</f>
        <v>1599484</v>
      </c>
      <c r="E70" s="138" t="s">
        <v>237</v>
      </c>
      <c r="F70" s="78" t="s">
        <v>238</v>
      </c>
      <c r="G70" s="79">
        <v>51747</v>
      </c>
    </row>
    <row r="71" spans="2:7">
      <c r="B71" s="18" t="s">
        <v>239</v>
      </c>
      <c r="C71" s="223" t="s">
        <v>240</v>
      </c>
      <c r="D71" s="223">
        <f>[27]Amortizaciones!D13</f>
        <v>0</v>
      </c>
      <c r="E71" s="138" t="s">
        <v>241</v>
      </c>
      <c r="F71" s="78" t="s">
        <v>242</v>
      </c>
      <c r="G71" s="79">
        <v>0</v>
      </c>
    </row>
    <row r="72" spans="2:7">
      <c r="B72" s="18" t="s">
        <v>243</v>
      </c>
      <c r="C72" s="223" t="s">
        <v>244</v>
      </c>
      <c r="D72" s="223">
        <f>[27]Amortizaciones!D14</f>
        <v>144027</v>
      </c>
      <c r="E72" s="138" t="s">
        <v>245</v>
      </c>
      <c r="F72" s="78" t="s">
        <v>246</v>
      </c>
      <c r="G72" s="79">
        <v>2634377</v>
      </c>
    </row>
    <row r="73" spans="2:7">
      <c r="B73" s="18" t="s">
        <v>247</v>
      </c>
      <c r="C73" s="223" t="s">
        <v>248</v>
      </c>
      <c r="D73" s="223">
        <f>[27]Amortizaciones!D15</f>
        <v>0</v>
      </c>
      <c r="E73" s="138" t="s">
        <v>249</v>
      </c>
      <c r="F73" s="78" t="s">
        <v>250</v>
      </c>
      <c r="G73" s="79">
        <v>228738</v>
      </c>
    </row>
    <row r="74" spans="2:7">
      <c r="B74" s="18" t="s">
        <v>251</v>
      </c>
      <c r="C74" s="223" t="s">
        <v>252</v>
      </c>
      <c r="D74" s="223">
        <f>[27]Amortizaciones!D16</f>
        <v>0</v>
      </c>
      <c r="E74" s="138" t="s">
        <v>253</v>
      </c>
      <c r="F74" s="78" t="s">
        <v>254</v>
      </c>
      <c r="G74" s="79">
        <v>0</v>
      </c>
    </row>
    <row r="75" spans="2:7">
      <c r="B75" s="18" t="s">
        <v>255</v>
      </c>
      <c r="C75" s="223" t="s">
        <v>256</v>
      </c>
      <c r="D75" s="223">
        <f>[27]Amortizaciones!D17</f>
        <v>0</v>
      </c>
      <c r="E75" s="138" t="s">
        <v>257</v>
      </c>
      <c r="F75" s="78" t="s">
        <v>258</v>
      </c>
      <c r="G75" s="79">
        <v>346960</v>
      </c>
    </row>
    <row r="76" spans="2:7">
      <c r="B76" s="18" t="s">
        <v>259</v>
      </c>
      <c r="C76" s="223" t="s">
        <v>260</v>
      </c>
      <c r="D76" s="223">
        <f>[27]Amortizaciones!D18</f>
        <v>0</v>
      </c>
      <c r="E76" s="138" t="s">
        <v>261</v>
      </c>
      <c r="F76" s="78" t="s">
        <v>262</v>
      </c>
      <c r="G76" s="79">
        <v>582407</v>
      </c>
    </row>
    <row r="77" spans="2:7">
      <c r="B77" s="18" t="s">
        <v>263</v>
      </c>
      <c r="C77" s="223" t="s">
        <v>264</v>
      </c>
      <c r="D77" s="223">
        <f>SUM(D64:D76)</f>
        <v>8738790</v>
      </c>
      <c r="E77" s="138" t="s">
        <v>265</v>
      </c>
      <c r="F77" s="78" t="s">
        <v>266</v>
      </c>
      <c r="G77" s="79">
        <f>457094+154771+285188+3088045</f>
        <v>3985098</v>
      </c>
    </row>
    <row r="78" spans="2:7">
      <c r="B78" s="18"/>
      <c r="C78" s="223"/>
      <c r="D78" s="223"/>
      <c r="E78" s="138" t="s">
        <v>267</v>
      </c>
      <c r="F78" s="78" t="s">
        <v>268</v>
      </c>
      <c r="G78" s="84">
        <v>1141406</v>
      </c>
    </row>
    <row r="79" spans="2:7" ht="16.5" thickBot="1">
      <c r="B79" s="18"/>
      <c r="C79" s="222" t="s">
        <v>269</v>
      </c>
      <c r="D79" s="224"/>
      <c r="E79" s="138"/>
      <c r="F79" s="85" t="s">
        <v>270</v>
      </c>
      <c r="G79" s="86">
        <f>SUM(G58:G78)</f>
        <v>35578432</v>
      </c>
    </row>
    <row r="80" spans="2:7">
      <c r="B80" s="18" t="s">
        <v>271</v>
      </c>
      <c r="C80" s="223" t="s">
        <v>236</v>
      </c>
      <c r="D80" s="223">
        <f>[27]Amortizaciones!D22</f>
        <v>0</v>
      </c>
      <c r="E80" s="138" t="s">
        <v>272</v>
      </c>
      <c r="F80" s="80" t="s">
        <v>273</v>
      </c>
      <c r="G80" s="81">
        <v>0</v>
      </c>
    </row>
    <row r="81" spans="2:7">
      <c r="B81" s="18" t="s">
        <v>274</v>
      </c>
      <c r="C81" s="223" t="s">
        <v>240</v>
      </c>
      <c r="D81" s="223">
        <f>[27]Amortizaciones!D23</f>
        <v>0</v>
      </c>
      <c r="E81" s="138" t="s">
        <v>275</v>
      </c>
      <c r="F81" s="78" t="s">
        <v>276</v>
      </c>
      <c r="G81" s="79">
        <v>5721725</v>
      </c>
    </row>
    <row r="82" spans="2:7">
      <c r="B82" s="18" t="s">
        <v>277</v>
      </c>
      <c r="C82" s="223" t="s">
        <v>244</v>
      </c>
      <c r="D82" s="223">
        <f>[27]Amortizaciones!D24</f>
        <v>0</v>
      </c>
      <c r="E82" s="138" t="s">
        <v>278</v>
      </c>
      <c r="F82" s="78" t="s">
        <v>279</v>
      </c>
      <c r="G82" s="79">
        <v>1151597</v>
      </c>
    </row>
    <row r="83" spans="2:7">
      <c r="B83" s="18" t="s">
        <v>280</v>
      </c>
      <c r="C83" s="223" t="s">
        <v>248</v>
      </c>
      <c r="D83" s="223">
        <f>[27]Amortizaciones!D25</f>
        <v>0</v>
      </c>
      <c r="E83" s="138" t="s">
        <v>281</v>
      </c>
      <c r="F83" s="78" t="s">
        <v>282</v>
      </c>
      <c r="G83" s="79">
        <v>341803</v>
      </c>
    </row>
    <row r="84" spans="2:7">
      <c r="B84" s="18" t="s">
        <v>283</v>
      </c>
      <c r="C84" s="223" t="s">
        <v>284</v>
      </c>
      <c r="D84" s="223">
        <v>0</v>
      </c>
      <c r="E84" s="138" t="s">
        <v>285</v>
      </c>
      <c r="F84" s="78" t="s">
        <v>286</v>
      </c>
      <c r="G84" s="79">
        <v>2613117</v>
      </c>
    </row>
    <row r="85" spans="2:7">
      <c r="B85" s="18" t="s">
        <v>287</v>
      </c>
      <c r="C85" s="223" t="s">
        <v>288</v>
      </c>
      <c r="D85" s="223">
        <f>[27]Amortizaciones!D27</f>
        <v>0</v>
      </c>
      <c r="E85" s="138" t="s">
        <v>289</v>
      </c>
      <c r="F85" s="78" t="s">
        <v>290</v>
      </c>
      <c r="G85" s="79">
        <v>309787</v>
      </c>
    </row>
    <row r="86" spans="2:7" ht="13.5" customHeight="1">
      <c r="B86" s="18" t="s">
        <v>291</v>
      </c>
      <c r="C86" s="223" t="s">
        <v>292</v>
      </c>
      <c r="D86" s="223">
        <f>[27]Amortizaciones!D28</f>
        <v>0</v>
      </c>
      <c r="E86" s="138" t="s">
        <v>293</v>
      </c>
      <c r="F86" s="78" t="s">
        <v>294</v>
      </c>
      <c r="G86" s="79">
        <v>293233</v>
      </c>
    </row>
    <row r="87" spans="2:7" ht="13.5" customHeight="1">
      <c r="B87" s="18" t="s">
        <v>295</v>
      </c>
      <c r="C87" s="223" t="s">
        <v>296</v>
      </c>
      <c r="D87" s="223">
        <f>[27]Amortizaciones!D29</f>
        <v>0</v>
      </c>
      <c r="E87" s="138" t="s">
        <v>297</v>
      </c>
      <c r="F87" s="78" t="s">
        <v>298</v>
      </c>
      <c r="G87" s="79">
        <v>90834</v>
      </c>
    </row>
    <row r="88" spans="2:7" ht="13.5" customHeight="1">
      <c r="B88" s="18" t="s">
        <v>299</v>
      </c>
      <c r="C88" s="223" t="s">
        <v>300</v>
      </c>
      <c r="D88" s="223">
        <f>[27]Amortizaciones!D30</f>
        <v>0</v>
      </c>
      <c r="E88" s="138" t="s">
        <v>301</v>
      </c>
      <c r="F88" s="78" t="s">
        <v>302</v>
      </c>
      <c r="G88" s="79">
        <v>647710</v>
      </c>
    </row>
    <row r="89" spans="2:7">
      <c r="B89" s="18" t="s">
        <v>303</v>
      </c>
      <c r="C89" s="223" t="s">
        <v>212</v>
      </c>
      <c r="D89" s="223">
        <f>[27]Amortizaciones!D31</f>
        <v>0</v>
      </c>
      <c r="E89" s="138" t="s">
        <v>304</v>
      </c>
      <c r="F89" s="78" t="s">
        <v>305</v>
      </c>
      <c r="G89" s="79">
        <v>0</v>
      </c>
    </row>
    <row r="90" spans="2:7" ht="14.25" customHeight="1">
      <c r="B90" s="18" t="s">
        <v>306</v>
      </c>
      <c r="C90" s="223" t="s">
        <v>228</v>
      </c>
      <c r="D90" s="223">
        <f>[27]Amortizaciones!D32</f>
        <v>0</v>
      </c>
      <c r="E90" s="138" t="s">
        <v>307</v>
      </c>
      <c r="F90" s="78" t="s">
        <v>308</v>
      </c>
      <c r="G90" s="79">
        <v>0</v>
      </c>
    </row>
    <row r="91" spans="2:7" ht="14.25" customHeight="1">
      <c r="B91" s="18" t="s">
        <v>309</v>
      </c>
      <c r="C91" s="223" t="s">
        <v>310</v>
      </c>
      <c r="D91" s="223">
        <f>SUM(D80:D90)</f>
        <v>0</v>
      </c>
      <c r="E91" s="225" t="s">
        <v>311</v>
      </c>
      <c r="F91" s="78" t="s">
        <v>312</v>
      </c>
      <c r="G91" s="79">
        <v>0</v>
      </c>
    </row>
    <row r="92" spans="2:7" ht="14.25" customHeight="1">
      <c r="B92" s="18"/>
      <c r="C92" s="226" t="s">
        <v>313</v>
      </c>
      <c r="D92" s="223">
        <f>D77+D91</f>
        <v>8738790</v>
      </c>
      <c r="E92" s="225" t="s">
        <v>314</v>
      </c>
      <c r="F92" s="78" t="s">
        <v>315</v>
      </c>
      <c r="G92" s="79">
        <v>0</v>
      </c>
    </row>
    <row r="93" spans="2:7">
      <c r="C93" s="116"/>
      <c r="D93" s="116"/>
      <c r="E93" s="225" t="s">
        <v>316</v>
      </c>
      <c r="F93" s="78" t="s">
        <v>317</v>
      </c>
      <c r="G93" s="79">
        <v>101429</v>
      </c>
    </row>
    <row r="94" spans="2:7">
      <c r="C94" s="116"/>
      <c r="D94" s="116"/>
      <c r="E94" s="225" t="s">
        <v>318</v>
      </c>
      <c r="F94" s="78" t="s">
        <v>319</v>
      </c>
      <c r="G94" s="84">
        <v>377722</v>
      </c>
    </row>
    <row r="95" spans="2:7" ht="13.5" customHeight="1" thickBot="1">
      <c r="C95" s="116"/>
      <c r="D95" s="116"/>
      <c r="E95" s="138"/>
      <c r="F95" s="85" t="s">
        <v>320</v>
      </c>
      <c r="G95" s="86">
        <f>SUM(G80:G94)</f>
        <v>11648957</v>
      </c>
    </row>
    <row r="96" spans="2:7">
      <c r="C96" s="116"/>
      <c r="D96" s="116"/>
      <c r="E96" s="225" t="s">
        <v>321</v>
      </c>
      <c r="F96" s="80" t="s">
        <v>322</v>
      </c>
      <c r="G96" s="81">
        <f>423861+1796517</f>
        <v>2220378</v>
      </c>
    </row>
    <row r="97" spans="2:7">
      <c r="C97" s="116"/>
      <c r="D97" s="116"/>
      <c r="E97" s="225" t="s">
        <v>323</v>
      </c>
      <c r="F97" s="78" t="s">
        <v>324</v>
      </c>
      <c r="G97" s="79">
        <v>994909</v>
      </c>
    </row>
    <row r="98" spans="2:7">
      <c r="C98" s="116"/>
      <c r="D98" s="116"/>
      <c r="E98" s="225" t="s">
        <v>325</v>
      </c>
      <c r="F98" s="78" t="s">
        <v>326</v>
      </c>
      <c r="G98" s="79">
        <v>834322</v>
      </c>
    </row>
    <row r="99" spans="2:7">
      <c r="C99" s="116"/>
      <c r="D99" s="116"/>
      <c r="E99" s="225" t="s">
        <v>327</v>
      </c>
      <c r="F99" s="78" t="s">
        <v>328</v>
      </c>
      <c r="G99" s="79">
        <v>0</v>
      </c>
    </row>
    <row r="100" spans="2:7">
      <c r="C100" s="116"/>
      <c r="D100" s="116"/>
      <c r="E100" s="225" t="s">
        <v>329</v>
      </c>
      <c r="F100" s="78" t="s">
        <v>330</v>
      </c>
      <c r="G100" s="84">
        <v>144707</v>
      </c>
    </row>
    <row r="101" spans="2:7" ht="12.75" customHeight="1" thickBot="1">
      <c r="C101" s="116"/>
      <c r="D101" s="116"/>
      <c r="E101" s="138"/>
      <c r="F101" s="85" t="s">
        <v>331</v>
      </c>
      <c r="G101" s="86">
        <f>SUM(G96:G100)</f>
        <v>4194316</v>
      </c>
    </row>
    <row r="102" spans="2:7" ht="12.75" customHeight="1" thickBot="1">
      <c r="C102" s="116"/>
      <c r="D102" s="116"/>
      <c r="E102" s="225"/>
      <c r="F102" s="110" t="s">
        <v>332</v>
      </c>
      <c r="G102" s="111">
        <f>[27]Amortizaciones!D19</f>
        <v>8738790</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394776780.10000002</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65807507.899999976</v>
      </c>
    </row>
    <row r="110" spans="2:7" ht="6.75" customHeight="1" thickBot="1">
      <c r="B110" s="5"/>
      <c r="C110" s="227"/>
      <c r="D110" s="227"/>
      <c r="E110" s="138"/>
      <c r="F110" s="116"/>
      <c r="G110" s="116"/>
    </row>
    <row r="111" spans="2:7" ht="15" customHeight="1" thickBot="1">
      <c r="C111" s="72" t="s">
        <v>269</v>
      </c>
      <c r="D111" s="118">
        <f>+[27]E.S.P.!D6</f>
        <v>2021</v>
      </c>
      <c r="E111" s="225"/>
      <c r="F111" s="72" t="s">
        <v>340</v>
      </c>
      <c r="G111" s="118">
        <f>+[27]E.S.P.!D6</f>
        <v>2021</v>
      </c>
    </row>
    <row r="112" spans="2:7" ht="13.7" customHeight="1">
      <c r="B112" s="5" t="s">
        <v>341</v>
      </c>
      <c r="C112" s="119" t="s">
        <v>342</v>
      </c>
      <c r="D112" s="120">
        <v>4061576</v>
      </c>
      <c r="E112" s="138" t="s">
        <v>343</v>
      </c>
      <c r="F112" s="119" t="s">
        <v>308</v>
      </c>
      <c r="G112" s="120">
        <v>0</v>
      </c>
    </row>
    <row r="113" spans="2:7" ht="13.7" customHeight="1">
      <c r="B113" s="5" t="s">
        <v>344</v>
      </c>
      <c r="C113" s="121" t="s">
        <v>345</v>
      </c>
      <c r="D113" s="122">
        <v>26314420</v>
      </c>
      <c r="E113" s="138" t="s">
        <v>346</v>
      </c>
      <c r="F113" s="121" t="s">
        <v>347</v>
      </c>
      <c r="G113" s="122">
        <v>0</v>
      </c>
    </row>
    <row r="114" spans="2:7" ht="13.7" customHeight="1">
      <c r="B114" s="5" t="s">
        <v>348</v>
      </c>
      <c r="C114" s="121" t="s">
        <v>48</v>
      </c>
      <c r="D114" s="122">
        <v>739533</v>
      </c>
      <c r="E114" s="138" t="s">
        <v>349</v>
      </c>
      <c r="F114" s="121" t="s">
        <v>350</v>
      </c>
      <c r="G114" s="122">
        <v>1871344</v>
      </c>
    </row>
    <row r="115" spans="2:7" ht="13.7" customHeight="1">
      <c r="B115" s="5" t="s">
        <v>351</v>
      </c>
      <c r="C115" s="121" t="s">
        <v>352</v>
      </c>
      <c r="D115" s="122">
        <v>0</v>
      </c>
      <c r="E115" s="138" t="s">
        <v>353</v>
      </c>
      <c r="F115" s="121" t="s">
        <v>354</v>
      </c>
      <c r="G115" s="122">
        <v>187047</v>
      </c>
    </row>
    <row r="116" spans="2:7" ht="13.7" customHeight="1">
      <c r="B116" s="5" t="s">
        <v>355</v>
      </c>
      <c r="C116" s="121" t="s">
        <v>356</v>
      </c>
      <c r="D116" s="122">
        <v>1343121</v>
      </c>
      <c r="E116" s="138" t="s">
        <v>357</v>
      </c>
      <c r="F116" s="121" t="s">
        <v>358</v>
      </c>
      <c r="G116" s="122">
        <v>358100</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1185333</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1187191</v>
      </c>
      <c r="E121" s="138" t="s">
        <v>377</v>
      </c>
      <c r="F121" s="121" t="s">
        <v>378</v>
      </c>
      <c r="G121" s="122">
        <f>359+7149</f>
        <v>7508</v>
      </c>
    </row>
    <row r="122" spans="2:7" ht="13.7" customHeight="1" thickBot="1">
      <c r="B122" s="5"/>
      <c r="C122" s="85" t="s">
        <v>379</v>
      </c>
      <c r="D122" s="94">
        <f>SUM(D112:D121)</f>
        <v>33645841</v>
      </c>
      <c r="E122" s="138" t="s">
        <v>380</v>
      </c>
      <c r="F122" s="78" t="s">
        <v>381</v>
      </c>
      <c r="G122" s="79">
        <v>128324</v>
      </c>
    </row>
    <row r="123" spans="2:7" ht="13.7" customHeight="1" thickBot="1">
      <c r="B123" s="5" t="s">
        <v>382</v>
      </c>
      <c r="C123" s="123" t="s">
        <v>308</v>
      </c>
      <c r="D123" s="120">
        <v>178868</v>
      </c>
      <c r="E123" s="225"/>
      <c r="F123" s="85" t="s">
        <v>383</v>
      </c>
      <c r="G123" s="94">
        <f>SUM(G112:G122)</f>
        <v>3737656</v>
      </c>
    </row>
    <row r="124" spans="2:7" ht="13.7" customHeight="1">
      <c r="B124" s="5" t="s">
        <v>384</v>
      </c>
      <c r="C124" s="121" t="s">
        <v>312</v>
      </c>
      <c r="D124" s="122">
        <f>42000+211916+740398</f>
        <v>994314</v>
      </c>
      <c r="E124" s="138" t="s">
        <v>385</v>
      </c>
      <c r="F124" s="121" t="s">
        <v>386</v>
      </c>
      <c r="G124" s="122">
        <v>0</v>
      </c>
    </row>
    <row r="125" spans="2:7" ht="13.7" customHeight="1">
      <c r="B125" s="5" t="s">
        <v>387</v>
      </c>
      <c r="C125" s="78" t="s">
        <v>388</v>
      </c>
      <c r="D125" s="122">
        <v>33770</v>
      </c>
      <c r="E125" s="138" t="s">
        <v>389</v>
      </c>
      <c r="F125" s="121" t="s">
        <v>390</v>
      </c>
      <c r="G125" s="122">
        <v>79005</v>
      </c>
    </row>
    <row r="126" spans="2:7" ht="13.7" customHeight="1" thickBot="1">
      <c r="B126" s="5"/>
      <c r="C126" s="85" t="s">
        <v>391</v>
      </c>
      <c r="D126" s="94">
        <f>SUM(D123:D125)</f>
        <v>1206952</v>
      </c>
      <c r="E126" s="138" t="s">
        <v>392</v>
      </c>
      <c r="F126" s="121" t="s">
        <v>393</v>
      </c>
      <c r="G126" s="122">
        <v>1195588</v>
      </c>
    </row>
    <row r="127" spans="2:7" ht="13.7" customHeight="1">
      <c r="B127" s="5" t="s">
        <v>394</v>
      </c>
      <c r="C127" s="119" t="s">
        <v>273</v>
      </c>
      <c r="D127" s="120">
        <v>2004635</v>
      </c>
      <c r="E127" s="138" t="s">
        <v>395</v>
      </c>
      <c r="F127" s="121" t="s">
        <v>396</v>
      </c>
      <c r="G127" s="122">
        <v>0</v>
      </c>
    </row>
    <row r="128" spans="2:7" ht="13.7" customHeight="1">
      <c r="B128" s="5" t="s">
        <v>397</v>
      </c>
      <c r="C128" s="121" t="s">
        <v>398</v>
      </c>
      <c r="D128" s="122">
        <v>389407</v>
      </c>
      <c r="E128" s="138" t="s">
        <v>399</v>
      </c>
      <c r="F128" s="121" t="s">
        <v>400</v>
      </c>
      <c r="G128" s="122">
        <v>1535527</v>
      </c>
    </row>
    <row r="129" spans="2:7" ht="13.7" customHeight="1">
      <c r="B129" s="5" t="s">
        <v>401</v>
      </c>
      <c r="C129" s="121" t="s">
        <v>276</v>
      </c>
      <c r="D129" s="122">
        <v>22318</v>
      </c>
      <c r="E129" s="138" t="s">
        <v>402</v>
      </c>
      <c r="F129" s="121" t="s">
        <v>403</v>
      </c>
      <c r="G129" s="122">
        <v>505961</v>
      </c>
    </row>
    <row r="130" spans="2:7" ht="13.7" customHeight="1">
      <c r="B130" s="5" t="s">
        <v>404</v>
      </c>
      <c r="C130" s="121" t="s">
        <v>282</v>
      </c>
      <c r="D130" s="122">
        <v>0</v>
      </c>
      <c r="E130" s="138" t="s">
        <v>405</v>
      </c>
      <c r="F130" s="121" t="s">
        <v>406</v>
      </c>
      <c r="G130" s="122">
        <v>0</v>
      </c>
    </row>
    <row r="131" spans="2:7" ht="13.7" customHeight="1">
      <c r="B131" s="5" t="s">
        <v>407</v>
      </c>
      <c r="C131" s="121" t="s">
        <v>286</v>
      </c>
      <c r="D131" s="122">
        <v>2178</v>
      </c>
      <c r="E131" s="138" t="s">
        <v>408</v>
      </c>
      <c r="F131" s="121" t="s">
        <v>409</v>
      </c>
      <c r="G131" s="122">
        <v>0</v>
      </c>
    </row>
    <row r="132" spans="2:7" ht="13.7" customHeight="1">
      <c r="B132" s="5" t="s">
        <v>410</v>
      </c>
      <c r="C132" s="121" t="s">
        <v>290</v>
      </c>
      <c r="D132" s="122">
        <v>1721484</v>
      </c>
      <c r="E132" s="138" t="s">
        <v>411</v>
      </c>
      <c r="F132" s="121" t="s">
        <v>412</v>
      </c>
      <c r="G132" s="122">
        <f>105704+20362</f>
        <v>126066</v>
      </c>
    </row>
    <row r="133" spans="2:7" ht="13.7" customHeight="1">
      <c r="B133" s="5" t="s">
        <v>413</v>
      </c>
      <c r="C133" s="121" t="s">
        <v>294</v>
      </c>
      <c r="D133" s="122">
        <v>0</v>
      </c>
      <c r="E133" s="138" t="s">
        <v>414</v>
      </c>
      <c r="F133" s="121" t="s">
        <v>415</v>
      </c>
      <c r="G133" s="122">
        <v>0</v>
      </c>
    </row>
    <row r="134" spans="2:7" ht="13.7" customHeight="1">
      <c r="B134" s="5" t="s">
        <v>416</v>
      </c>
      <c r="C134" s="121" t="s">
        <v>417</v>
      </c>
      <c r="D134" s="122">
        <v>1227766</v>
      </c>
      <c r="E134" s="138" t="s">
        <v>418</v>
      </c>
      <c r="F134" s="121" t="s">
        <v>419</v>
      </c>
      <c r="G134" s="122">
        <v>0</v>
      </c>
    </row>
    <row r="135" spans="2:7" ht="13.7" customHeight="1">
      <c r="B135" s="5" t="s">
        <v>420</v>
      </c>
      <c r="C135" s="121" t="s">
        <v>421</v>
      </c>
      <c r="D135" s="122">
        <f>735280+1899219+878318+1125987</f>
        <v>4638804</v>
      </c>
      <c r="E135" s="138" t="s">
        <v>422</v>
      </c>
      <c r="F135" s="121" t="s">
        <v>423</v>
      </c>
      <c r="G135" s="122">
        <v>0</v>
      </c>
    </row>
    <row r="136" spans="2:7" ht="13.7" customHeight="1">
      <c r="B136" s="5" t="s">
        <v>424</v>
      </c>
      <c r="C136" s="121" t="s">
        <v>317</v>
      </c>
      <c r="D136" s="122">
        <v>0</v>
      </c>
      <c r="E136" s="138" t="s">
        <v>425</v>
      </c>
      <c r="F136" s="121" t="s">
        <v>426</v>
      </c>
      <c r="G136" s="122">
        <f>86900+191783</f>
        <v>278683</v>
      </c>
    </row>
    <row r="137" spans="2:7" ht="13.7" customHeight="1">
      <c r="B137" s="5" t="s">
        <v>427</v>
      </c>
      <c r="C137" s="78" t="s">
        <v>319</v>
      </c>
      <c r="D137" s="124">
        <v>354889</v>
      </c>
      <c r="E137" s="138" t="s">
        <v>428</v>
      </c>
      <c r="F137" s="121" t="s">
        <v>429</v>
      </c>
      <c r="G137" s="122">
        <f>2478630</f>
        <v>2478630</v>
      </c>
    </row>
    <row r="138" spans="2:7" ht="13.7" customHeight="1" thickBot="1">
      <c r="B138" s="5"/>
      <c r="C138" s="85" t="s">
        <v>320</v>
      </c>
      <c r="D138" s="94">
        <f>SUM(D127:D137)</f>
        <v>10361481</v>
      </c>
      <c r="E138" s="138" t="s">
        <v>430</v>
      </c>
      <c r="F138" s="78" t="s">
        <v>431</v>
      </c>
      <c r="G138" s="79">
        <v>185911</v>
      </c>
    </row>
    <row r="139" spans="2:7" ht="13.7" customHeight="1" thickBot="1">
      <c r="B139" s="5" t="s">
        <v>432</v>
      </c>
      <c r="C139" s="119" t="s">
        <v>326</v>
      </c>
      <c r="D139" s="120">
        <v>534769</v>
      </c>
      <c r="E139" s="228"/>
      <c r="F139" s="85" t="s">
        <v>433</v>
      </c>
      <c r="G139" s="94">
        <f>SUM(G124:G138)</f>
        <v>6385371</v>
      </c>
    </row>
    <row r="140" spans="2:7" ht="13.7" customHeight="1" thickBot="1">
      <c r="B140" s="5" t="s">
        <v>434</v>
      </c>
      <c r="C140" s="121" t="s">
        <v>328</v>
      </c>
      <c r="D140" s="122">
        <v>0</v>
      </c>
      <c r="E140" s="228"/>
      <c r="F140" s="110" t="s">
        <v>435</v>
      </c>
      <c r="G140" s="126">
        <f>G123-G139</f>
        <v>-2647715</v>
      </c>
    </row>
    <row r="141" spans="2:7" ht="13.7" customHeight="1">
      <c r="B141" s="5" t="s">
        <v>436</v>
      </c>
      <c r="C141" s="78" t="s">
        <v>330</v>
      </c>
      <c r="D141" s="124">
        <v>12229</v>
      </c>
      <c r="E141" s="229"/>
      <c r="F141" s="116"/>
      <c r="G141" s="116"/>
    </row>
    <row r="142" spans="2:7" ht="13.7" customHeight="1" thickBot="1">
      <c r="B142" s="5"/>
      <c r="C142" s="85" t="s">
        <v>331</v>
      </c>
      <c r="D142" s="94">
        <f>SUM(D139:D141)</f>
        <v>546998</v>
      </c>
      <c r="E142" s="229"/>
      <c r="F142" s="116"/>
      <c r="G142" s="116"/>
    </row>
    <row r="143" spans="2:7" ht="13.5" customHeight="1" thickBot="1">
      <c r="B143" s="5"/>
      <c r="C143" s="110" t="s">
        <v>332</v>
      </c>
      <c r="D143" s="126">
        <f>[27]Amortizaciones!D33</f>
        <v>0</v>
      </c>
      <c r="E143" s="138"/>
      <c r="F143" s="72" t="s">
        <v>437</v>
      </c>
      <c r="G143" s="118">
        <f>+[27]E.S.P.!D6</f>
        <v>2021</v>
      </c>
    </row>
    <row r="144" spans="2:7" ht="13.7" customHeight="1">
      <c r="B144" s="5" t="s">
        <v>438</v>
      </c>
      <c r="C144" s="119" t="s">
        <v>439</v>
      </c>
      <c r="D144" s="120">
        <v>35028</v>
      </c>
      <c r="E144" s="138" t="s">
        <v>440</v>
      </c>
      <c r="F144" s="119" t="s">
        <v>441</v>
      </c>
      <c r="G144" s="120">
        <v>0</v>
      </c>
    </row>
    <row r="145" spans="2:7" ht="13.7" customHeight="1">
      <c r="B145" s="5" t="s">
        <v>442</v>
      </c>
      <c r="C145" s="121" t="s">
        <v>443</v>
      </c>
      <c r="D145" s="122">
        <f>931+101206+872798</f>
        <v>974935</v>
      </c>
      <c r="E145" s="138" t="s">
        <v>444</v>
      </c>
      <c r="F145" s="121" t="s">
        <v>445</v>
      </c>
      <c r="G145" s="122">
        <v>421390</v>
      </c>
    </row>
    <row r="146" spans="2:7" ht="13.7" customHeight="1">
      <c r="B146" s="5" t="s">
        <v>446</v>
      </c>
      <c r="C146" s="128" t="s">
        <v>447</v>
      </c>
      <c r="D146" s="122">
        <v>0</v>
      </c>
      <c r="E146" s="138" t="s">
        <v>448</v>
      </c>
      <c r="F146" s="121" t="s">
        <v>449</v>
      </c>
      <c r="G146" s="122">
        <v>362816</v>
      </c>
    </row>
    <row r="147" spans="2:7" ht="13.7" customHeight="1">
      <c r="B147" s="5" t="s">
        <v>450</v>
      </c>
      <c r="C147" s="78" t="s">
        <v>451</v>
      </c>
      <c r="D147" s="124">
        <v>36348</v>
      </c>
      <c r="E147" s="138" t="s">
        <v>452</v>
      </c>
      <c r="F147" s="121" t="s">
        <v>453</v>
      </c>
      <c r="G147" s="122">
        <v>0</v>
      </c>
    </row>
    <row r="148" spans="2:7" ht="13.7" customHeight="1" thickBot="1">
      <c r="B148" s="5"/>
      <c r="C148" s="85" t="s">
        <v>518</v>
      </c>
      <c r="D148" s="94">
        <f>SUM(D144:D147)</f>
        <v>1046311</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f>28202336-25768128</f>
        <v>2434208</v>
      </c>
    </row>
    <row r="152" spans="2:7" ht="13.7" customHeight="1" thickBot="1">
      <c r="B152" s="5"/>
      <c r="C152" s="85" t="s">
        <v>516</v>
      </c>
      <c r="D152" s="94">
        <f>SUM(D149:D151)</f>
        <v>0</v>
      </c>
      <c r="E152" s="138" t="s">
        <v>469</v>
      </c>
      <c r="F152" s="121" t="s">
        <v>470</v>
      </c>
      <c r="G152" s="122">
        <v>0</v>
      </c>
    </row>
    <row r="153" spans="2:7" ht="15" customHeight="1" thickBot="1">
      <c r="B153" s="5"/>
      <c r="C153" s="110" t="s">
        <v>471</v>
      </c>
      <c r="D153" s="129">
        <f>D122+D126+D138+D142+D143+D148+D152</f>
        <v>46807583</v>
      </c>
      <c r="E153" s="138" t="s">
        <v>472</v>
      </c>
      <c r="F153" s="78" t="s">
        <v>473</v>
      </c>
      <c r="G153" s="79">
        <v>12336</v>
      </c>
    </row>
    <row r="154" spans="2:7" ht="13.7" customHeight="1" thickBot="1">
      <c r="B154" s="5"/>
      <c r="C154" s="116"/>
      <c r="D154" s="116"/>
      <c r="E154" s="138"/>
      <c r="F154" s="85" t="s">
        <v>474</v>
      </c>
      <c r="G154" s="94">
        <f>SUM(G144:G153)</f>
        <v>3230750</v>
      </c>
    </row>
    <row r="155" spans="2:7" ht="13.5" customHeight="1" thickBot="1">
      <c r="B155" s="5"/>
      <c r="C155" s="72" t="s">
        <v>475</v>
      </c>
      <c r="D155" s="103">
        <f>G109-D153</f>
        <v>18999924.899999976</v>
      </c>
      <c r="E155" s="138" t="s">
        <v>476</v>
      </c>
      <c r="F155" s="119" t="s">
        <v>477</v>
      </c>
      <c r="G155" s="120">
        <v>4258553</v>
      </c>
    </row>
    <row r="156" spans="2:7" ht="13.7" customHeight="1">
      <c r="C156" s="116"/>
      <c r="D156" s="116"/>
      <c r="E156" s="138" t="s">
        <v>478</v>
      </c>
      <c r="F156" s="121" t="s">
        <v>479</v>
      </c>
      <c r="G156" s="122">
        <v>3021587</v>
      </c>
    </row>
    <row r="157" spans="2:7" ht="13.7" customHeight="1">
      <c r="C157" s="116"/>
      <c r="D157" s="116"/>
      <c r="E157" s="138" t="s">
        <v>480</v>
      </c>
      <c r="F157" s="121" t="s">
        <v>481</v>
      </c>
      <c r="G157" s="122">
        <v>1674</v>
      </c>
    </row>
    <row r="158" spans="2:7" ht="13.7" customHeight="1">
      <c r="C158" s="116"/>
      <c r="D158" s="116"/>
      <c r="E158" s="138" t="s">
        <v>482</v>
      </c>
      <c r="F158" s="121" t="s">
        <v>483</v>
      </c>
      <c r="G158" s="122">
        <v>0</v>
      </c>
    </row>
    <row r="159" spans="2:7" ht="13.7" customHeight="1">
      <c r="C159" s="116"/>
      <c r="D159" s="116"/>
      <c r="E159" s="138" t="s">
        <v>484</v>
      </c>
      <c r="F159" s="121" t="s">
        <v>485</v>
      </c>
      <c r="G159" s="122">
        <f>344667+30</f>
        <v>344697</v>
      </c>
    </row>
    <row r="160" spans="2:7" ht="13.7" customHeight="1">
      <c r="C160" s="116"/>
      <c r="D160" s="116"/>
      <c r="E160" s="138" t="s">
        <v>486</v>
      </c>
      <c r="F160" s="121" t="s">
        <v>487</v>
      </c>
      <c r="G160" s="122">
        <v>2134</v>
      </c>
    </row>
    <row r="161" spans="3:7" ht="13.7" customHeight="1">
      <c r="C161" s="116"/>
      <c r="D161" s="116"/>
      <c r="E161" s="138" t="s">
        <v>488</v>
      </c>
      <c r="F161" s="121" t="s">
        <v>489</v>
      </c>
      <c r="G161" s="122">
        <f>319748+424208</f>
        <v>743956</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v>0</v>
      </c>
    </row>
    <row r="167" spans="3:7" ht="13.7" customHeight="1">
      <c r="C167" s="116"/>
      <c r="D167" s="116"/>
      <c r="E167" s="138" t="s">
        <v>500</v>
      </c>
      <c r="F167" s="78" t="s">
        <v>501</v>
      </c>
      <c r="G167" s="79">
        <v>174232</v>
      </c>
    </row>
    <row r="168" spans="3:7" ht="13.7" customHeight="1" thickBot="1">
      <c r="C168" s="116"/>
      <c r="D168" s="116"/>
      <c r="E168" s="138"/>
      <c r="F168" s="85" t="s">
        <v>502</v>
      </c>
      <c r="G168" s="94">
        <f>SUM(G155:G167)</f>
        <v>8546833</v>
      </c>
    </row>
    <row r="169" spans="3:7" ht="13.7" customHeight="1" thickBot="1">
      <c r="C169" s="116"/>
      <c r="D169" s="116"/>
      <c r="E169" s="138"/>
      <c r="F169" s="110" t="s">
        <v>503</v>
      </c>
      <c r="G169" s="126">
        <f>G154-G168</f>
        <v>-5316083</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11036126.899999976</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4082411</v>
      </c>
    </row>
    <row r="177" spans="1:8" ht="13.7" customHeight="1" thickBot="1">
      <c r="C177" s="116"/>
      <c r="D177" s="116"/>
      <c r="E177" s="138"/>
      <c r="F177" s="121" t="s">
        <v>508</v>
      </c>
      <c r="G177" s="122">
        <v>0</v>
      </c>
    </row>
    <row r="178" spans="1:8" ht="13.7" customHeight="1" thickBot="1">
      <c r="C178" s="116"/>
      <c r="D178" s="116"/>
      <c r="E178" s="138"/>
      <c r="F178" s="72" t="s">
        <v>509</v>
      </c>
      <c r="G178" s="103">
        <f>SUM(G175:G177)</f>
        <v>4082411</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15118537.899999976</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13" priority="2" stopIfTrue="1" operator="greaterThan">
      <formula>50</formula>
    </cfRule>
    <cfRule type="cellIs" dxfId="212" priority="11" stopIfTrue="1" operator="equal">
      <formula>0</formula>
    </cfRule>
  </conditionalFormatting>
  <conditionalFormatting sqref="D7:D61">
    <cfRule type="cellIs" dxfId="211" priority="9" stopIfTrue="1" operator="between">
      <formula>-0.1</formula>
      <formula>-50</formula>
    </cfRule>
    <cfRule type="cellIs" dxfId="210" priority="10" stopIfTrue="1" operator="between">
      <formula>0.1</formula>
      <formula>50</formula>
    </cfRule>
  </conditionalFormatting>
  <conditionalFormatting sqref="G152:G181 G7:G150">
    <cfRule type="cellIs" dxfId="209" priority="7" stopIfTrue="1" operator="between">
      <formula>-0.1</formula>
      <formula>-50</formula>
    </cfRule>
    <cfRule type="cellIs" dxfId="208" priority="8" stopIfTrue="1" operator="between">
      <formula>0.1</formula>
      <formula>50</formula>
    </cfRule>
  </conditionalFormatting>
  <conditionalFormatting sqref="D111:D155">
    <cfRule type="cellIs" dxfId="207" priority="5" stopIfTrue="1" operator="between">
      <formula>-0.1</formula>
      <formula>-50</formula>
    </cfRule>
    <cfRule type="cellIs" dxfId="206" priority="6" stopIfTrue="1" operator="between">
      <formula>0.1</formula>
      <formula>50</formula>
    </cfRule>
  </conditionalFormatting>
  <conditionalFormatting sqref="G165">
    <cfRule type="expression" dxfId="205" priority="4" stopIfTrue="1">
      <formula>AND($G$165&gt;0,$G$151&gt;0)</formula>
    </cfRule>
  </conditionalFormatting>
  <conditionalFormatting sqref="G151">
    <cfRule type="expression" dxfId="20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59:G161 D145 D135 G132:G137 D124 G121 G96 G77 G58 D50 D42:D45 G41:G46 G34:G39 D33 G28:G30 D18:D19 G151"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topLeftCell="C1" zoomScaleNormal="100" zoomScaleSheetLayoutView="100" workbookViewId="0">
      <pane ySplit="5" topLeftCell="A45" activePane="bottomLeft" state="frozenSplit"/>
      <selection activeCell="E4" sqref="E4"/>
      <selection pane="bottomLeft" activeCell="C64" sqref="A64:XFD64"/>
    </sheetView>
  </sheetViews>
  <sheetFormatPr baseColWidth="10" defaultColWidth="0" defaultRowHeight="15.75" zeroHeight="1"/>
  <cols>
    <col min="1" max="1" width="2.42578125" style="1" customWidth="1"/>
    <col min="2" max="2" width="14.28515625" style="6" hidden="1" customWidth="1"/>
    <col min="3" max="3" width="55.28515625" style="19" customWidth="1"/>
    <col min="4" max="4" width="20.7109375" style="19" customWidth="1"/>
    <col min="5" max="5" width="3.85546875" style="13" customWidth="1"/>
    <col min="6" max="6" width="57.28515625" style="19" customWidth="1"/>
    <col min="7" max="7" width="21" style="19" customWidth="1"/>
    <col min="8" max="8" width="5.42578125" style="4" customWidth="1"/>
    <col min="9" max="16384" width="0" style="4" hidden="1"/>
  </cols>
  <sheetData>
    <row r="1" spans="1:9">
      <c r="B1" s="2"/>
      <c r="C1" s="255" t="s">
        <v>0</v>
      </c>
      <c r="D1" s="258"/>
      <c r="E1" s="253" t="str">
        <f>[28]Presentacion!C3</f>
        <v>CAMY</v>
      </c>
      <c r="F1" s="253"/>
      <c r="G1" s="136"/>
      <c r="H1" s="3"/>
    </row>
    <row r="2" spans="1:9">
      <c r="B2" s="5"/>
      <c r="C2" s="255" t="s">
        <v>1</v>
      </c>
      <c r="D2" s="258"/>
      <c r="E2" s="253" t="str">
        <f>[28]Presentacion!C4</f>
        <v>Rio Negro</v>
      </c>
      <c r="F2" s="253"/>
      <c r="G2" s="136"/>
      <c r="H2" s="3"/>
    </row>
    <row r="3" spans="1:9">
      <c r="B3" s="5"/>
      <c r="C3" s="255" t="s">
        <v>2</v>
      </c>
      <c r="D3" s="262"/>
      <c r="E3" s="254" t="s">
        <v>3</v>
      </c>
      <c r="F3" s="254"/>
      <c r="G3" s="136"/>
      <c r="H3" s="3"/>
    </row>
    <row r="4" spans="1:9" ht="11.25" customHeight="1" thickBot="1">
      <c r="C4" s="68"/>
      <c r="D4" s="7"/>
      <c r="E4" s="8"/>
      <c r="F4" s="9"/>
      <c r="G4" s="10"/>
    </row>
    <row r="5" spans="1:9" ht="12.75" customHeight="1" thickBot="1">
      <c r="B5" s="11"/>
      <c r="C5" s="72" t="s">
        <v>4</v>
      </c>
      <c r="D5" s="73" t="s">
        <v>5</v>
      </c>
      <c r="E5" s="137"/>
      <c r="F5" s="72" t="s">
        <v>6</v>
      </c>
      <c r="G5" s="73" t="s">
        <v>5</v>
      </c>
      <c r="I5" s="12"/>
    </row>
    <row r="6" spans="1:9" ht="12.75" customHeight="1" thickBot="1">
      <c r="B6" s="11"/>
      <c r="C6" s="75" t="s">
        <v>7</v>
      </c>
      <c r="D6" s="230">
        <f>+[28]E.S.P.!D6</f>
        <v>2021</v>
      </c>
      <c r="E6" s="138"/>
      <c r="F6" s="75" t="s">
        <v>8</v>
      </c>
      <c r="G6" s="230">
        <f>+D6</f>
        <v>2021</v>
      </c>
      <c r="H6" s="12"/>
    </row>
    <row r="7" spans="1:9">
      <c r="B7" s="5" t="s">
        <v>9</v>
      </c>
      <c r="C7" s="78" t="s">
        <v>10</v>
      </c>
      <c r="D7" s="79">
        <v>4644120</v>
      </c>
      <c r="E7" s="138" t="s">
        <v>11</v>
      </c>
      <c r="F7" s="80" t="s">
        <v>12</v>
      </c>
      <c r="G7" s="81">
        <v>1792121</v>
      </c>
    </row>
    <row r="8" spans="1:9">
      <c r="B8" s="5" t="s">
        <v>13</v>
      </c>
      <c r="C8" s="78" t="s">
        <v>14</v>
      </c>
      <c r="D8" s="79">
        <v>5140418</v>
      </c>
      <c r="E8" s="138" t="s">
        <v>15</v>
      </c>
      <c r="F8" s="78" t="s">
        <v>16</v>
      </c>
      <c r="G8" s="82">
        <v>48557088</v>
      </c>
    </row>
    <row r="9" spans="1:9">
      <c r="B9" s="5" t="s">
        <v>17</v>
      </c>
      <c r="C9" s="78" t="s">
        <v>18</v>
      </c>
      <c r="D9" s="79">
        <f>233003033-911929</f>
        <v>232091104</v>
      </c>
      <c r="E9" s="138" t="s">
        <v>19</v>
      </c>
      <c r="F9" s="78" t="s">
        <v>20</v>
      </c>
      <c r="G9" s="79">
        <v>0</v>
      </c>
    </row>
    <row r="10" spans="1:9">
      <c r="B10" s="5" t="s">
        <v>21</v>
      </c>
      <c r="C10" s="78" t="s">
        <v>22</v>
      </c>
      <c r="D10" s="79">
        <v>23087040</v>
      </c>
      <c r="E10" s="138" t="s">
        <v>23</v>
      </c>
      <c r="F10" s="78" t="s">
        <v>24</v>
      </c>
      <c r="G10" s="79">
        <v>25765858</v>
      </c>
    </row>
    <row r="11" spans="1:9">
      <c r="B11" s="5" t="s">
        <v>25</v>
      </c>
      <c r="C11" s="78" t="s">
        <v>26</v>
      </c>
      <c r="D11" s="79">
        <v>4070050</v>
      </c>
      <c r="E11" s="138" t="s">
        <v>27</v>
      </c>
      <c r="F11" s="78" t="s">
        <v>28</v>
      </c>
      <c r="G11" s="79">
        <v>0</v>
      </c>
    </row>
    <row r="12" spans="1:9">
      <c r="B12" s="5" t="s">
        <v>29</v>
      </c>
      <c r="C12" s="78" t="s">
        <v>30</v>
      </c>
      <c r="D12" s="79">
        <v>4516708</v>
      </c>
      <c r="E12" s="138" t="s">
        <v>31</v>
      </c>
      <c r="F12" s="78" t="s">
        <v>32</v>
      </c>
      <c r="G12" s="79">
        <v>30459662</v>
      </c>
    </row>
    <row r="13" spans="1:9">
      <c r="B13" s="5" t="s">
        <v>33</v>
      </c>
      <c r="C13" s="78" t="s">
        <v>34</v>
      </c>
      <c r="D13" s="79">
        <v>0</v>
      </c>
      <c r="E13" s="138" t="s">
        <v>35</v>
      </c>
      <c r="F13" s="78" t="s">
        <v>36</v>
      </c>
      <c r="G13" s="79">
        <v>0</v>
      </c>
    </row>
    <row r="14" spans="1:9">
      <c r="A14" s="14"/>
      <c r="B14" s="5" t="s">
        <v>37</v>
      </c>
      <c r="C14" s="78" t="s">
        <v>38</v>
      </c>
      <c r="D14" s="79">
        <v>0</v>
      </c>
      <c r="E14" s="138" t="s">
        <v>39</v>
      </c>
      <c r="F14" s="78" t="s">
        <v>40</v>
      </c>
      <c r="G14" s="79">
        <v>35451426</v>
      </c>
    </row>
    <row r="15" spans="1:9">
      <c r="B15" s="5" t="s">
        <v>41</v>
      </c>
      <c r="C15" s="83" t="s">
        <v>42</v>
      </c>
      <c r="D15" s="79">
        <v>0</v>
      </c>
      <c r="E15" s="138" t="s">
        <v>43</v>
      </c>
      <c r="F15" s="78" t="s">
        <v>44</v>
      </c>
      <c r="G15" s="79">
        <v>0</v>
      </c>
    </row>
    <row r="16" spans="1:9">
      <c r="B16" s="5" t="s">
        <v>45</v>
      </c>
      <c r="C16" s="78" t="s">
        <v>46</v>
      </c>
      <c r="D16" s="79">
        <v>0</v>
      </c>
      <c r="E16" s="138" t="s">
        <v>47</v>
      </c>
      <c r="F16" s="78" t="s">
        <v>48</v>
      </c>
      <c r="G16" s="79">
        <v>9681364</v>
      </c>
    </row>
    <row r="17" spans="1:7">
      <c r="B17" s="5" t="s">
        <v>49</v>
      </c>
      <c r="C17" s="78" t="s">
        <v>50</v>
      </c>
      <c r="D17" s="79">
        <v>0</v>
      </c>
      <c r="E17" s="138" t="s">
        <v>51</v>
      </c>
      <c r="F17" s="78" t="s">
        <v>52</v>
      </c>
      <c r="G17" s="79">
        <v>0</v>
      </c>
    </row>
    <row r="18" spans="1:7">
      <c r="A18" s="14"/>
      <c r="B18" s="5" t="s">
        <v>53</v>
      </c>
      <c r="C18" s="78" t="s">
        <v>54</v>
      </c>
      <c r="D18" s="79">
        <v>911929</v>
      </c>
      <c r="E18" s="138" t="s">
        <v>55</v>
      </c>
      <c r="F18" s="78" t="s">
        <v>56</v>
      </c>
      <c r="G18" s="84">
        <v>4126445</v>
      </c>
    </row>
    <row r="19" spans="1:7" ht="16.5" thickBot="1">
      <c r="A19" s="14"/>
      <c r="B19" s="5" t="s">
        <v>57</v>
      </c>
      <c r="C19" s="78" t="s">
        <v>58</v>
      </c>
      <c r="D19" s="79">
        <v>7465349</v>
      </c>
      <c r="E19" s="138"/>
      <c r="F19" s="85" t="s">
        <v>59</v>
      </c>
      <c r="G19" s="86">
        <f>SUM(G7:G18)</f>
        <v>155833964</v>
      </c>
    </row>
    <row r="20" spans="1:7" ht="16.5" thickBot="1">
      <c r="B20" s="5"/>
      <c r="C20" s="85" t="s">
        <v>60</v>
      </c>
      <c r="D20" s="86">
        <f>SUM(D7:D19)</f>
        <v>281926718</v>
      </c>
      <c r="E20" s="138" t="s">
        <v>61</v>
      </c>
      <c r="F20" s="80" t="s">
        <v>62</v>
      </c>
      <c r="G20" s="81">
        <v>0</v>
      </c>
    </row>
    <row r="21" spans="1:7">
      <c r="B21" s="5"/>
      <c r="C21" s="87" t="s">
        <v>63</v>
      </c>
      <c r="D21" s="88">
        <f>SUM(D22:D28)</f>
        <v>3671018</v>
      </c>
      <c r="E21" s="138" t="s">
        <v>64</v>
      </c>
      <c r="F21" s="78" t="s">
        <v>65</v>
      </c>
      <c r="G21" s="79">
        <v>0</v>
      </c>
    </row>
    <row r="22" spans="1:7">
      <c r="B22" s="5" t="s">
        <v>66</v>
      </c>
      <c r="C22" s="78" t="s">
        <v>67</v>
      </c>
      <c r="D22" s="79">
        <f>599281+1937447</f>
        <v>2536728</v>
      </c>
      <c r="E22" s="138" t="s">
        <v>68</v>
      </c>
      <c r="F22" s="78" t="s">
        <v>69</v>
      </c>
      <c r="G22" s="79">
        <v>0</v>
      </c>
    </row>
    <row r="23" spans="1:7">
      <c r="B23" s="5" t="s">
        <v>70</v>
      </c>
      <c r="C23" s="78" t="s">
        <v>71</v>
      </c>
      <c r="D23" s="79">
        <v>0</v>
      </c>
      <c r="E23" s="138" t="s">
        <v>72</v>
      </c>
      <c r="F23" s="78" t="s">
        <v>73</v>
      </c>
      <c r="G23" s="79">
        <f>67540+1085487+12267883</f>
        <v>13420910</v>
      </c>
    </row>
    <row r="24" spans="1:7">
      <c r="B24" s="5" t="s">
        <v>74</v>
      </c>
      <c r="C24" s="78" t="s">
        <v>75</v>
      </c>
      <c r="D24" s="79">
        <v>645785</v>
      </c>
      <c r="E24" s="138" t="s">
        <v>76</v>
      </c>
      <c r="F24" s="78" t="s">
        <v>77</v>
      </c>
      <c r="G24" s="79">
        <v>0</v>
      </c>
    </row>
    <row r="25" spans="1:7">
      <c r="B25" s="5" t="s">
        <v>78</v>
      </c>
      <c r="C25" s="78" t="s">
        <v>79</v>
      </c>
      <c r="D25" s="79">
        <v>0</v>
      </c>
      <c r="E25" s="138" t="s">
        <v>80</v>
      </c>
      <c r="F25" s="78" t="s">
        <v>81</v>
      </c>
      <c r="G25" s="79">
        <v>0</v>
      </c>
    </row>
    <row r="26" spans="1:7">
      <c r="B26" s="5" t="s">
        <v>82</v>
      </c>
      <c r="C26" s="78" t="s">
        <v>83</v>
      </c>
      <c r="D26" s="79">
        <v>390055</v>
      </c>
      <c r="E26" s="138" t="s">
        <v>84</v>
      </c>
      <c r="F26" s="78" t="s">
        <v>85</v>
      </c>
      <c r="G26" s="84">
        <v>365049</v>
      </c>
    </row>
    <row r="27" spans="1:7" ht="13.5" customHeight="1" thickBot="1">
      <c r="B27" s="5" t="s">
        <v>86</v>
      </c>
      <c r="C27" s="78" t="s">
        <v>87</v>
      </c>
      <c r="D27" s="79">
        <v>1242</v>
      </c>
      <c r="E27" s="138"/>
      <c r="F27" s="85" t="s">
        <v>88</v>
      </c>
      <c r="G27" s="86">
        <f>SUM(G20:G26)</f>
        <v>13785959</v>
      </c>
    </row>
    <row r="28" spans="1:7">
      <c r="B28" s="5" t="s">
        <v>89</v>
      </c>
      <c r="C28" s="78" t="s">
        <v>90</v>
      </c>
      <c r="D28" s="79">
        <v>97208</v>
      </c>
      <c r="E28" s="138" t="s">
        <v>91</v>
      </c>
      <c r="F28" s="80" t="s">
        <v>92</v>
      </c>
      <c r="G28" s="81">
        <f>22952565+4327791+2182+283293+1</f>
        <v>27565832</v>
      </c>
    </row>
    <row r="29" spans="1:7">
      <c r="B29" s="5"/>
      <c r="C29" s="89" t="s">
        <v>93</v>
      </c>
      <c r="D29" s="88">
        <f>SUM(D30:D34)</f>
        <v>11939745</v>
      </c>
      <c r="E29" s="138" t="s">
        <v>94</v>
      </c>
      <c r="F29" s="78" t="s">
        <v>95</v>
      </c>
      <c r="G29" s="79">
        <v>5785793</v>
      </c>
    </row>
    <row r="30" spans="1:7">
      <c r="B30" s="5" t="s">
        <v>96</v>
      </c>
      <c r="C30" s="78" t="s">
        <v>97</v>
      </c>
      <c r="D30" s="79">
        <f>11623583+1</f>
        <v>11623584</v>
      </c>
      <c r="E30" s="138" t="s">
        <v>98</v>
      </c>
      <c r="F30" s="78" t="s">
        <v>99</v>
      </c>
      <c r="G30" s="79">
        <v>5913622</v>
      </c>
    </row>
    <row r="31" spans="1:7">
      <c r="B31" s="5" t="s">
        <v>100</v>
      </c>
      <c r="C31" s="78" t="s">
        <v>101</v>
      </c>
      <c r="D31" s="79">
        <v>0</v>
      </c>
      <c r="E31" s="138" t="s">
        <v>102</v>
      </c>
      <c r="F31" s="78" t="s">
        <v>103</v>
      </c>
      <c r="G31" s="84">
        <v>1068015</v>
      </c>
    </row>
    <row r="32" spans="1:7" ht="16.5" thickBot="1">
      <c r="B32" s="5" t="s">
        <v>104</v>
      </c>
      <c r="C32" s="78" t="s">
        <v>105</v>
      </c>
      <c r="D32" s="79">
        <v>0</v>
      </c>
      <c r="E32" s="138"/>
      <c r="F32" s="85" t="s">
        <v>106</v>
      </c>
      <c r="G32" s="86">
        <f>SUM(G28:G31)</f>
        <v>40333262</v>
      </c>
    </row>
    <row r="33" spans="2:7">
      <c r="B33" s="5" t="s">
        <v>107</v>
      </c>
      <c r="C33" s="78" t="s">
        <v>108</v>
      </c>
      <c r="D33" s="79">
        <v>0</v>
      </c>
      <c r="E33" s="138"/>
      <c r="F33" s="89" t="s">
        <v>109</v>
      </c>
      <c r="G33" s="88">
        <f>SUM(G34:G39)</f>
        <v>15346290</v>
      </c>
    </row>
    <row r="34" spans="2:7">
      <c r="B34" s="5" t="s">
        <v>110</v>
      </c>
      <c r="C34" s="78" t="s">
        <v>111</v>
      </c>
      <c r="D34" s="79">
        <v>316161</v>
      </c>
      <c r="E34" s="138" t="s">
        <v>112</v>
      </c>
      <c r="F34" s="78" t="s">
        <v>113</v>
      </c>
      <c r="G34" s="79">
        <v>0</v>
      </c>
    </row>
    <row r="35" spans="2:7" ht="16.5" thickBot="1">
      <c r="B35" s="5"/>
      <c r="C35" s="85" t="s">
        <v>114</v>
      </c>
      <c r="D35" s="86">
        <f>+D21+D29</f>
        <v>15610763</v>
      </c>
      <c r="E35" s="138" t="s">
        <v>115</v>
      </c>
      <c r="F35" s="78" t="s">
        <v>116</v>
      </c>
      <c r="G35" s="79">
        <v>0</v>
      </c>
    </row>
    <row r="36" spans="2:7">
      <c r="B36" s="5" t="s">
        <v>117</v>
      </c>
      <c r="C36" s="78" t="s">
        <v>118</v>
      </c>
      <c r="D36" s="79">
        <v>0</v>
      </c>
      <c r="E36" s="138" t="s">
        <v>119</v>
      </c>
      <c r="F36" s="78" t="s">
        <v>520</v>
      </c>
      <c r="G36" s="79">
        <v>0</v>
      </c>
    </row>
    <row r="37" spans="2:7">
      <c r="B37" s="5" t="s">
        <v>120</v>
      </c>
      <c r="C37" s="78" t="s">
        <v>121</v>
      </c>
      <c r="D37" s="79">
        <f>60647760+1</f>
        <v>60647761</v>
      </c>
      <c r="E37" s="138" t="s">
        <v>122</v>
      </c>
      <c r="F37" s="78" t="s">
        <v>123</v>
      </c>
      <c r="G37" s="79">
        <v>0</v>
      </c>
    </row>
    <row r="38" spans="2:7">
      <c r="B38" s="5" t="s">
        <v>124</v>
      </c>
      <c r="C38" s="78" t="s">
        <v>125</v>
      </c>
      <c r="D38" s="79">
        <v>0</v>
      </c>
      <c r="E38" s="138" t="s">
        <v>126</v>
      </c>
      <c r="F38" s="78" t="s">
        <v>127</v>
      </c>
      <c r="G38" s="79">
        <v>0</v>
      </c>
    </row>
    <row r="39" spans="2:7">
      <c r="B39" s="5" t="s">
        <v>128</v>
      </c>
      <c r="C39" s="78" t="s">
        <v>129</v>
      </c>
      <c r="D39" s="79">
        <v>0</v>
      </c>
      <c r="E39" s="138" t="s">
        <v>130</v>
      </c>
      <c r="F39" s="78" t="s">
        <v>131</v>
      </c>
      <c r="G39" s="79">
        <v>15346290</v>
      </c>
    </row>
    <row r="40" spans="2:7">
      <c r="B40" s="5" t="s">
        <v>132</v>
      </c>
      <c r="C40" s="78" t="s">
        <v>133</v>
      </c>
      <c r="D40" s="79">
        <v>2817308</v>
      </c>
      <c r="E40" s="138"/>
      <c r="F40" s="90" t="s">
        <v>134</v>
      </c>
      <c r="G40" s="91">
        <f>SUM(G41:G46)</f>
        <v>6799163</v>
      </c>
    </row>
    <row r="41" spans="2:7">
      <c r="B41" s="5" t="s">
        <v>135</v>
      </c>
      <c r="C41" s="78" t="s">
        <v>136</v>
      </c>
      <c r="D41" s="79">
        <v>0</v>
      </c>
      <c r="E41" s="138" t="s">
        <v>137</v>
      </c>
      <c r="F41" s="78" t="s">
        <v>138</v>
      </c>
      <c r="G41" s="79">
        <v>0</v>
      </c>
    </row>
    <row r="42" spans="2:7">
      <c r="B42" s="5" t="s">
        <v>139</v>
      </c>
      <c r="C42" s="78" t="s">
        <v>140</v>
      </c>
      <c r="D42" s="79">
        <f>71998123+26936-65372274</f>
        <v>6652785</v>
      </c>
      <c r="E42" s="138" t="s">
        <v>141</v>
      </c>
      <c r="F42" s="78" t="s">
        <v>142</v>
      </c>
      <c r="G42" s="79">
        <v>0</v>
      </c>
    </row>
    <row r="43" spans="2:7">
      <c r="B43" s="5" t="s">
        <v>143</v>
      </c>
      <c r="C43" s="78" t="s">
        <v>144</v>
      </c>
      <c r="D43" s="79">
        <v>0</v>
      </c>
      <c r="E43" s="138" t="s">
        <v>145</v>
      </c>
      <c r="F43" s="78" t="s">
        <v>146</v>
      </c>
      <c r="G43" s="79">
        <v>6799163</v>
      </c>
    </row>
    <row r="44" spans="2:7">
      <c r="B44" s="5" t="s">
        <v>147</v>
      </c>
      <c r="C44" s="78" t="s">
        <v>148</v>
      </c>
      <c r="D44" s="79">
        <v>0</v>
      </c>
      <c r="E44" s="138" t="s">
        <v>149</v>
      </c>
      <c r="F44" s="78" t="s">
        <v>150</v>
      </c>
      <c r="G44" s="79">
        <v>0</v>
      </c>
    </row>
    <row r="45" spans="2:7">
      <c r="B45" s="5" t="s">
        <v>151</v>
      </c>
      <c r="C45" s="78" t="s">
        <v>152</v>
      </c>
      <c r="D45" s="79">
        <v>0</v>
      </c>
      <c r="E45" s="138" t="s">
        <v>153</v>
      </c>
      <c r="F45" s="78" t="s">
        <v>154</v>
      </c>
      <c r="G45" s="79">
        <v>0</v>
      </c>
    </row>
    <row r="46" spans="2:7">
      <c r="B46" s="5" t="s">
        <v>155</v>
      </c>
      <c r="C46" s="78" t="s">
        <v>156</v>
      </c>
      <c r="D46" s="79">
        <v>1907206</v>
      </c>
      <c r="E46" s="138" t="s">
        <v>157</v>
      </c>
      <c r="F46" s="78" t="s">
        <v>158</v>
      </c>
      <c r="G46" s="79">
        <v>0</v>
      </c>
    </row>
    <row r="47" spans="2:7" ht="16.5" thickBot="1">
      <c r="B47" s="5"/>
      <c r="C47" s="85" t="s">
        <v>159</v>
      </c>
      <c r="D47" s="86">
        <f>SUM(D36:D46)</f>
        <v>72025060</v>
      </c>
      <c r="E47" s="138" t="s">
        <v>160</v>
      </c>
      <c r="F47" s="78" t="s">
        <v>161</v>
      </c>
      <c r="G47" s="84">
        <v>602356</v>
      </c>
    </row>
    <row r="48" spans="2:7" ht="16.5" thickBot="1">
      <c r="B48" s="5"/>
      <c r="C48" s="92" t="s">
        <v>162</v>
      </c>
      <c r="D48" s="93"/>
      <c r="E48" s="138"/>
      <c r="F48" s="85" t="s">
        <v>163</v>
      </c>
      <c r="G48" s="94">
        <f>+G33+G40+G47</f>
        <v>22747809</v>
      </c>
    </row>
    <row r="49" spans="2:7">
      <c r="B49" s="5" t="s">
        <v>164</v>
      </c>
      <c r="C49" s="95" t="s">
        <v>165</v>
      </c>
      <c r="D49" s="96">
        <v>0</v>
      </c>
      <c r="E49" s="138" t="s">
        <v>166</v>
      </c>
      <c r="F49" s="80" t="s">
        <v>167</v>
      </c>
      <c r="G49" s="81">
        <v>3403819</v>
      </c>
    </row>
    <row r="50" spans="2:7">
      <c r="B50" s="5" t="s">
        <v>168</v>
      </c>
      <c r="C50" s="78" t="s">
        <v>162</v>
      </c>
      <c r="D50" s="79">
        <v>924806</v>
      </c>
      <c r="E50" s="138" t="s">
        <v>169</v>
      </c>
      <c r="F50" s="78" t="s">
        <v>170</v>
      </c>
      <c r="G50" s="79">
        <v>13117018</v>
      </c>
    </row>
    <row r="51" spans="2:7">
      <c r="B51" s="5" t="s">
        <v>171</v>
      </c>
      <c r="C51" s="78" t="s">
        <v>172</v>
      </c>
      <c r="D51" s="84">
        <v>0</v>
      </c>
      <c r="E51" s="138" t="s">
        <v>173</v>
      </c>
      <c r="F51" s="78" t="s">
        <v>174</v>
      </c>
      <c r="G51" s="79">
        <v>447806</v>
      </c>
    </row>
    <row r="52" spans="2:7" ht="16.5" thickBot="1">
      <c r="B52" s="11"/>
      <c r="C52" s="85" t="s">
        <v>175</v>
      </c>
      <c r="D52" s="86">
        <f>SUM(D49:D51)</f>
        <v>924806</v>
      </c>
      <c r="E52" s="138" t="s">
        <v>176</v>
      </c>
      <c r="F52" s="78" t="s">
        <v>177</v>
      </c>
      <c r="G52" s="79">
        <v>0</v>
      </c>
    </row>
    <row r="53" spans="2:7" ht="16.5" thickBot="1">
      <c r="B53" s="5"/>
      <c r="C53" s="75" t="s">
        <v>178</v>
      </c>
      <c r="D53" s="97">
        <f>D20+D35+D47+D52</f>
        <v>370487347</v>
      </c>
      <c r="E53" s="138" t="s">
        <v>179</v>
      </c>
      <c r="F53" s="78" t="s">
        <v>180</v>
      </c>
      <c r="G53" s="79">
        <v>3436026</v>
      </c>
    </row>
    <row r="54" spans="2:7">
      <c r="C54" s="98"/>
      <c r="D54" s="99"/>
      <c r="E54" s="138" t="s">
        <v>181</v>
      </c>
      <c r="F54" s="78" t="s">
        <v>182</v>
      </c>
      <c r="G54" s="79">
        <f>12671+12000</f>
        <v>24671</v>
      </c>
    </row>
    <row r="55" spans="2:7">
      <c r="C55" s="100" t="s">
        <v>183</v>
      </c>
      <c r="D55" s="101"/>
      <c r="E55" s="138" t="s">
        <v>184</v>
      </c>
      <c r="F55" s="78" t="s">
        <v>185</v>
      </c>
      <c r="G55" s="79">
        <v>0</v>
      </c>
    </row>
    <row r="56" spans="2:7">
      <c r="B56" s="5" t="s">
        <v>186</v>
      </c>
      <c r="C56" s="102" t="s">
        <v>187</v>
      </c>
      <c r="D56" s="79"/>
      <c r="E56" s="138" t="s">
        <v>188</v>
      </c>
      <c r="F56" s="78" t="s">
        <v>189</v>
      </c>
      <c r="G56" s="84">
        <v>555678</v>
      </c>
    </row>
    <row r="57" spans="2:7" ht="14.25" customHeight="1" thickBot="1">
      <c r="B57" s="5" t="s">
        <v>190</v>
      </c>
      <c r="C57" s="102" t="s">
        <v>191</v>
      </c>
      <c r="D57" s="79"/>
      <c r="E57" s="138"/>
      <c r="F57" s="85" t="s">
        <v>192</v>
      </c>
      <c r="G57" s="86">
        <f>SUM(G49:G56)</f>
        <v>20985018</v>
      </c>
    </row>
    <row r="58" spans="2:7">
      <c r="B58" s="5" t="s">
        <v>193</v>
      </c>
      <c r="C58" s="102" t="s">
        <v>194</v>
      </c>
      <c r="D58" s="79"/>
      <c r="E58" s="138" t="s">
        <v>195</v>
      </c>
      <c r="F58" s="80" t="s">
        <v>196</v>
      </c>
      <c r="G58" s="81">
        <v>0</v>
      </c>
    </row>
    <row r="59" spans="2:7">
      <c r="B59" s="5" t="s">
        <v>197</v>
      </c>
      <c r="C59" s="78" t="s">
        <v>198</v>
      </c>
      <c r="D59" s="84"/>
      <c r="E59" s="138" t="s">
        <v>199</v>
      </c>
      <c r="F59" s="78" t="s">
        <v>200</v>
      </c>
      <c r="G59" s="79">
        <f>759929+4417739</f>
        <v>5177668</v>
      </c>
    </row>
    <row r="60" spans="2:7" ht="16.5" thickBot="1">
      <c r="B60" s="5"/>
      <c r="C60" s="85" t="s">
        <v>201</v>
      </c>
      <c r="D60" s="86">
        <f>SUM(D56:D59)</f>
        <v>0</v>
      </c>
      <c r="E60" s="138" t="s">
        <v>202</v>
      </c>
      <c r="F60" s="78" t="s">
        <v>203</v>
      </c>
      <c r="G60" s="79">
        <v>2820011</v>
      </c>
    </row>
    <row r="61" spans="2:7" ht="16.5" thickBot="1">
      <c r="B61" s="15"/>
      <c r="C61" s="72" t="s">
        <v>204</v>
      </c>
      <c r="D61" s="103">
        <f>D53+D60</f>
        <v>370487347</v>
      </c>
      <c r="E61" s="138" t="s">
        <v>205</v>
      </c>
      <c r="F61" s="78" t="s">
        <v>206</v>
      </c>
      <c r="G61" s="79">
        <v>9631419</v>
      </c>
    </row>
    <row r="62" spans="2:7">
      <c r="B62" s="16"/>
      <c r="C62" s="116"/>
      <c r="D62" s="116"/>
      <c r="E62" s="138" t="s">
        <v>207</v>
      </c>
      <c r="F62" s="78" t="s">
        <v>208</v>
      </c>
      <c r="G62" s="79">
        <v>0</v>
      </c>
    </row>
    <row r="63" spans="2:7">
      <c r="B63" s="17"/>
      <c r="C63" s="222" t="s">
        <v>8</v>
      </c>
      <c r="D63" s="222"/>
      <c r="E63" s="138" t="s">
        <v>209</v>
      </c>
      <c r="F63" s="78" t="s">
        <v>210</v>
      </c>
      <c r="G63" s="79">
        <v>2227195</v>
      </c>
    </row>
    <row r="64" spans="2:7">
      <c r="B64" s="18" t="s">
        <v>211</v>
      </c>
      <c r="C64" s="223" t="s">
        <v>212</v>
      </c>
      <c r="D64" s="223">
        <f>[28]Amortizaciones!D6</f>
        <v>3437156</v>
      </c>
      <c r="E64" s="138" t="s">
        <v>213</v>
      </c>
      <c r="F64" s="78" t="s">
        <v>214</v>
      </c>
      <c r="G64" s="79">
        <v>0</v>
      </c>
    </row>
    <row r="65" spans="2:7">
      <c r="B65" s="18" t="s">
        <v>215</v>
      </c>
      <c r="C65" s="223" t="s">
        <v>216</v>
      </c>
      <c r="D65" s="223">
        <f>[28]Amortizaciones!D7</f>
        <v>0</v>
      </c>
      <c r="E65" s="138" t="s">
        <v>217</v>
      </c>
      <c r="F65" s="78" t="s">
        <v>218</v>
      </c>
      <c r="G65" s="79">
        <f>758520+209936</f>
        <v>968456</v>
      </c>
    </row>
    <row r="66" spans="2:7">
      <c r="B66" s="18" t="s">
        <v>219</v>
      </c>
      <c r="C66" s="223" t="s">
        <v>220</v>
      </c>
      <c r="D66" s="223">
        <f>[28]Amortizaciones!D8</f>
        <v>1997200</v>
      </c>
      <c r="E66" s="138" t="s">
        <v>221</v>
      </c>
      <c r="F66" s="78" t="s">
        <v>222</v>
      </c>
      <c r="G66" s="79">
        <v>3006406</v>
      </c>
    </row>
    <row r="67" spans="2:7">
      <c r="B67" s="18" t="s">
        <v>223</v>
      </c>
      <c r="C67" s="223" t="s">
        <v>224</v>
      </c>
      <c r="D67" s="223">
        <f>[28]Amortizaciones!D9</f>
        <v>0</v>
      </c>
      <c r="E67" s="138" t="s">
        <v>225</v>
      </c>
      <c r="F67" s="78" t="s">
        <v>226</v>
      </c>
      <c r="G67" s="79">
        <v>3242739</v>
      </c>
    </row>
    <row r="68" spans="2:7">
      <c r="B68" s="18" t="s">
        <v>227</v>
      </c>
      <c r="C68" s="223" t="s">
        <v>228</v>
      </c>
      <c r="D68" s="223">
        <f>[28]Amortizaciones!D10</f>
        <v>36877</v>
      </c>
      <c r="E68" s="138" t="s">
        <v>229</v>
      </c>
      <c r="F68" s="78" t="s">
        <v>230</v>
      </c>
      <c r="G68" s="79">
        <v>0</v>
      </c>
    </row>
    <row r="69" spans="2:7">
      <c r="B69" s="18" t="s">
        <v>231</v>
      </c>
      <c r="C69" s="223" t="s">
        <v>232</v>
      </c>
      <c r="D69" s="223">
        <f>[28]Amortizaciones!D11</f>
        <v>42020</v>
      </c>
      <c r="E69" s="138" t="s">
        <v>233</v>
      </c>
      <c r="F69" s="78" t="s">
        <v>234</v>
      </c>
      <c r="G69" s="79">
        <v>264037</v>
      </c>
    </row>
    <row r="70" spans="2:7">
      <c r="B70" s="18" t="s">
        <v>235</v>
      </c>
      <c r="C70" s="223" t="s">
        <v>236</v>
      </c>
      <c r="D70" s="223">
        <f>[28]Amortizaciones!D12</f>
        <v>54311</v>
      </c>
      <c r="E70" s="138" t="s">
        <v>237</v>
      </c>
      <c r="F70" s="78" t="s">
        <v>238</v>
      </c>
      <c r="G70" s="79">
        <v>0</v>
      </c>
    </row>
    <row r="71" spans="2:7">
      <c r="B71" s="18" t="s">
        <v>239</v>
      </c>
      <c r="C71" s="223" t="s">
        <v>240</v>
      </c>
      <c r="D71" s="223">
        <f>[28]Amortizaciones!D13</f>
        <v>0</v>
      </c>
      <c r="E71" s="138" t="s">
        <v>241</v>
      </c>
      <c r="F71" s="78" t="s">
        <v>242</v>
      </c>
      <c r="G71" s="79">
        <v>0</v>
      </c>
    </row>
    <row r="72" spans="2:7">
      <c r="B72" s="18" t="s">
        <v>243</v>
      </c>
      <c r="C72" s="223" t="s">
        <v>244</v>
      </c>
      <c r="D72" s="223">
        <f>[28]Amortizaciones!D14</f>
        <v>136341</v>
      </c>
      <c r="E72" s="138" t="s">
        <v>245</v>
      </c>
      <c r="F72" s="78" t="s">
        <v>246</v>
      </c>
      <c r="G72" s="79">
        <v>0</v>
      </c>
    </row>
    <row r="73" spans="2:7">
      <c r="B73" s="18" t="s">
        <v>247</v>
      </c>
      <c r="C73" s="223" t="s">
        <v>248</v>
      </c>
      <c r="D73" s="223">
        <f>[28]Amortizaciones!D15</f>
        <v>137706</v>
      </c>
      <c r="E73" s="138" t="s">
        <v>249</v>
      </c>
      <c r="F73" s="78" t="s">
        <v>250</v>
      </c>
      <c r="G73" s="79">
        <v>0</v>
      </c>
    </row>
    <row r="74" spans="2:7">
      <c r="B74" s="18" t="s">
        <v>251</v>
      </c>
      <c r="C74" s="223" t="s">
        <v>252</v>
      </c>
      <c r="D74" s="223">
        <f>[28]Amortizaciones!D16</f>
        <v>888365</v>
      </c>
      <c r="E74" s="138" t="s">
        <v>253</v>
      </c>
      <c r="F74" s="78" t="s">
        <v>254</v>
      </c>
      <c r="G74" s="79">
        <v>0</v>
      </c>
    </row>
    <row r="75" spans="2:7">
      <c r="B75" s="18" t="s">
        <v>255</v>
      </c>
      <c r="C75" s="223" t="s">
        <v>256</v>
      </c>
      <c r="D75" s="223">
        <f>[28]Amortizaciones!D17</f>
        <v>0</v>
      </c>
      <c r="E75" s="138" t="s">
        <v>257</v>
      </c>
      <c r="F75" s="78" t="s">
        <v>258</v>
      </c>
      <c r="G75" s="79">
        <f>714715+267908+471582</f>
        <v>1454205</v>
      </c>
    </row>
    <row r="76" spans="2:7">
      <c r="B76" s="18" t="s">
        <v>259</v>
      </c>
      <c r="C76" s="223" t="s">
        <v>260</v>
      </c>
      <c r="D76" s="223">
        <f>[28]Amortizaciones!D18</f>
        <v>0</v>
      </c>
      <c r="E76" s="138" t="s">
        <v>261</v>
      </c>
      <c r="F76" s="78" t="s">
        <v>262</v>
      </c>
      <c r="G76" s="79">
        <v>5309902</v>
      </c>
    </row>
    <row r="77" spans="2:7">
      <c r="B77" s="18" t="s">
        <v>263</v>
      </c>
      <c r="C77" s="223" t="s">
        <v>264</v>
      </c>
      <c r="D77" s="223">
        <f>SUM(D64:D76)</f>
        <v>6729976</v>
      </c>
      <c r="E77" s="138" t="s">
        <v>265</v>
      </c>
      <c r="F77" s="78" t="s">
        <v>266</v>
      </c>
      <c r="G77" s="79">
        <f>4880188+18455+393298+404924+273583+4498231+2</f>
        <v>10468681</v>
      </c>
    </row>
    <row r="78" spans="2:7">
      <c r="B78" s="18"/>
      <c r="C78" s="223"/>
      <c r="D78" s="223"/>
      <c r="E78" s="138" t="s">
        <v>267</v>
      </c>
      <c r="F78" s="78" t="s">
        <v>268</v>
      </c>
      <c r="G78" s="84">
        <v>1212324</v>
      </c>
    </row>
    <row r="79" spans="2:7" ht="16.5" thickBot="1">
      <c r="B79" s="18"/>
      <c r="C79" s="222" t="s">
        <v>269</v>
      </c>
      <c r="D79" s="224"/>
      <c r="E79" s="138"/>
      <c r="F79" s="85" t="s">
        <v>270</v>
      </c>
      <c r="G79" s="86">
        <f>SUM(G58:G78)</f>
        <v>45783043</v>
      </c>
    </row>
    <row r="80" spans="2:7">
      <c r="B80" s="18" t="s">
        <v>271</v>
      </c>
      <c r="C80" s="223" t="s">
        <v>236</v>
      </c>
      <c r="D80" s="223">
        <f>[28]Amortizaciones!D22</f>
        <v>0</v>
      </c>
      <c r="E80" s="138" t="s">
        <v>272</v>
      </c>
      <c r="F80" s="80" t="s">
        <v>273</v>
      </c>
      <c r="G80" s="81">
        <v>2682045</v>
      </c>
    </row>
    <row r="81" spans="2:7">
      <c r="B81" s="18" t="s">
        <v>274</v>
      </c>
      <c r="C81" s="223" t="s">
        <v>240</v>
      </c>
      <c r="D81" s="223">
        <f>[28]Amortizaciones!D23</f>
        <v>0</v>
      </c>
      <c r="E81" s="138" t="s">
        <v>275</v>
      </c>
      <c r="F81" s="78" t="s">
        <v>276</v>
      </c>
      <c r="G81" s="79">
        <v>316420</v>
      </c>
    </row>
    <row r="82" spans="2:7">
      <c r="B82" s="18" t="s">
        <v>277</v>
      </c>
      <c r="C82" s="223" t="s">
        <v>244</v>
      </c>
      <c r="D82" s="223">
        <f>[28]Amortizaciones!D24</f>
        <v>0</v>
      </c>
      <c r="E82" s="138" t="s">
        <v>278</v>
      </c>
      <c r="F82" s="78" t="s">
        <v>279</v>
      </c>
      <c r="G82" s="79">
        <v>35559</v>
      </c>
    </row>
    <row r="83" spans="2:7">
      <c r="B83" s="18" t="s">
        <v>280</v>
      </c>
      <c r="C83" s="223" t="s">
        <v>248</v>
      </c>
      <c r="D83" s="223">
        <f>[28]Amortizaciones!D25</f>
        <v>0</v>
      </c>
      <c r="E83" s="138" t="s">
        <v>281</v>
      </c>
      <c r="F83" s="78" t="s">
        <v>282</v>
      </c>
      <c r="G83" s="79">
        <v>1276913</v>
      </c>
    </row>
    <row r="84" spans="2:7">
      <c r="B84" s="18" t="s">
        <v>283</v>
      </c>
      <c r="C84" s="223" t="s">
        <v>284</v>
      </c>
      <c r="D84" s="223">
        <v>0</v>
      </c>
      <c r="E84" s="138" t="s">
        <v>285</v>
      </c>
      <c r="F84" s="78" t="s">
        <v>286</v>
      </c>
      <c r="G84" s="79">
        <v>1852002</v>
      </c>
    </row>
    <row r="85" spans="2:7">
      <c r="B85" s="18" t="s">
        <v>287</v>
      </c>
      <c r="C85" s="223" t="s">
        <v>288</v>
      </c>
      <c r="D85" s="223">
        <f>[28]Amortizaciones!D27</f>
        <v>0</v>
      </c>
      <c r="E85" s="138" t="s">
        <v>289</v>
      </c>
      <c r="F85" s="78" t="s">
        <v>290</v>
      </c>
      <c r="G85" s="79">
        <v>161972</v>
      </c>
    </row>
    <row r="86" spans="2:7" ht="13.5" customHeight="1">
      <c r="B86" s="18" t="s">
        <v>291</v>
      </c>
      <c r="C86" s="223" t="s">
        <v>292</v>
      </c>
      <c r="D86" s="223">
        <f>[28]Amortizaciones!D28</f>
        <v>0</v>
      </c>
      <c r="E86" s="138" t="s">
        <v>293</v>
      </c>
      <c r="F86" s="78" t="s">
        <v>294</v>
      </c>
      <c r="G86" s="79">
        <v>1476025</v>
      </c>
    </row>
    <row r="87" spans="2:7" ht="13.5" customHeight="1">
      <c r="B87" s="18" t="s">
        <v>295</v>
      </c>
      <c r="C87" s="223" t="s">
        <v>296</v>
      </c>
      <c r="D87" s="223">
        <f>[28]Amortizaciones!D29</f>
        <v>0</v>
      </c>
      <c r="E87" s="138" t="s">
        <v>297</v>
      </c>
      <c r="F87" s="78" t="s">
        <v>298</v>
      </c>
      <c r="G87" s="79">
        <v>30033</v>
      </c>
    </row>
    <row r="88" spans="2:7" ht="13.5" customHeight="1">
      <c r="B88" s="18" t="s">
        <v>299</v>
      </c>
      <c r="C88" s="223" t="s">
        <v>300</v>
      </c>
      <c r="D88" s="223">
        <f>[28]Amortizaciones!D30</f>
        <v>0</v>
      </c>
      <c r="E88" s="138" t="s">
        <v>301</v>
      </c>
      <c r="F88" s="78" t="s">
        <v>302</v>
      </c>
      <c r="G88" s="79">
        <v>698924</v>
      </c>
    </row>
    <row r="89" spans="2:7">
      <c r="B89" s="18" t="s">
        <v>303</v>
      </c>
      <c r="C89" s="223" t="s">
        <v>212</v>
      </c>
      <c r="D89" s="223">
        <f>[28]Amortizaciones!D31</f>
        <v>0</v>
      </c>
      <c r="E89" s="138" t="s">
        <v>304</v>
      </c>
      <c r="F89" s="78" t="s">
        <v>305</v>
      </c>
      <c r="G89" s="79">
        <f>161318+70965+1</f>
        <v>232284</v>
      </c>
    </row>
    <row r="90" spans="2:7" ht="14.25" customHeight="1">
      <c r="B90" s="18" t="s">
        <v>306</v>
      </c>
      <c r="C90" s="223" t="s">
        <v>228</v>
      </c>
      <c r="D90" s="223">
        <f>[28]Amortizaciones!D32</f>
        <v>0</v>
      </c>
      <c r="E90" s="138" t="s">
        <v>307</v>
      </c>
      <c r="F90" s="78" t="s">
        <v>308</v>
      </c>
      <c r="G90" s="79">
        <v>0</v>
      </c>
    </row>
    <row r="91" spans="2:7" ht="14.25" customHeight="1">
      <c r="B91" s="18" t="s">
        <v>309</v>
      </c>
      <c r="C91" s="223" t="s">
        <v>310</v>
      </c>
      <c r="D91" s="223">
        <f>SUM(D80:D90)</f>
        <v>0</v>
      </c>
      <c r="E91" s="225" t="s">
        <v>311</v>
      </c>
      <c r="F91" s="78" t="s">
        <v>312</v>
      </c>
      <c r="G91" s="79">
        <v>0</v>
      </c>
    </row>
    <row r="92" spans="2:7" ht="14.25" customHeight="1">
      <c r="B92" s="18"/>
      <c r="C92" s="226" t="s">
        <v>313</v>
      </c>
      <c r="D92" s="223">
        <f>D77+D91</f>
        <v>6729976</v>
      </c>
      <c r="E92" s="225" t="s">
        <v>314</v>
      </c>
      <c r="F92" s="78" t="s">
        <v>315</v>
      </c>
      <c r="G92" s="79">
        <v>0</v>
      </c>
    </row>
    <row r="93" spans="2:7">
      <c r="C93" s="116"/>
      <c r="D93" s="116"/>
      <c r="E93" s="225" t="s">
        <v>316</v>
      </c>
      <c r="F93" s="78" t="s">
        <v>317</v>
      </c>
      <c r="G93" s="79">
        <v>941536</v>
      </c>
    </row>
    <row r="94" spans="2:7">
      <c r="C94" s="116"/>
      <c r="D94" s="116"/>
      <c r="E94" s="225" t="s">
        <v>318</v>
      </c>
      <c r="F94" s="78" t="s">
        <v>319</v>
      </c>
      <c r="G94" s="84">
        <v>263944</v>
      </c>
    </row>
    <row r="95" spans="2:7" ht="13.5" customHeight="1" thickBot="1">
      <c r="C95" s="116"/>
      <c r="D95" s="116"/>
      <c r="E95" s="138"/>
      <c r="F95" s="85" t="s">
        <v>320</v>
      </c>
      <c r="G95" s="86">
        <f>SUM(G80:G94)</f>
        <v>9967657</v>
      </c>
    </row>
    <row r="96" spans="2:7">
      <c r="C96" s="116"/>
      <c r="D96" s="116"/>
      <c r="E96" s="225" t="s">
        <v>321</v>
      </c>
      <c r="F96" s="80" t="s">
        <v>322</v>
      </c>
      <c r="G96" s="81">
        <v>880184</v>
      </c>
    </row>
    <row r="97" spans="2:7">
      <c r="C97" s="116"/>
      <c r="D97" s="116"/>
      <c r="E97" s="225" t="s">
        <v>323</v>
      </c>
      <c r="F97" s="78" t="s">
        <v>324</v>
      </c>
      <c r="G97" s="79">
        <f>409053+120858</f>
        <v>529911</v>
      </c>
    </row>
    <row r="98" spans="2:7">
      <c r="C98" s="116"/>
      <c r="D98" s="116"/>
      <c r="E98" s="225" t="s">
        <v>325</v>
      </c>
      <c r="F98" s="78" t="s">
        <v>326</v>
      </c>
      <c r="G98" s="79">
        <v>0</v>
      </c>
    </row>
    <row r="99" spans="2:7">
      <c r="C99" s="116"/>
      <c r="D99" s="116"/>
      <c r="E99" s="225" t="s">
        <v>327</v>
      </c>
      <c r="F99" s="78" t="s">
        <v>328</v>
      </c>
      <c r="G99" s="79">
        <v>26620</v>
      </c>
    </row>
    <row r="100" spans="2:7">
      <c r="C100" s="116"/>
      <c r="D100" s="116"/>
      <c r="E100" s="225" t="s">
        <v>329</v>
      </c>
      <c r="F100" s="78" t="s">
        <v>330</v>
      </c>
      <c r="G100" s="84">
        <v>39079</v>
      </c>
    </row>
    <row r="101" spans="2:7" ht="12.75" customHeight="1" thickBot="1">
      <c r="C101" s="116"/>
      <c r="D101" s="116"/>
      <c r="E101" s="138"/>
      <c r="F101" s="85" t="s">
        <v>331</v>
      </c>
      <c r="G101" s="86">
        <f>SUM(G96:G100)</f>
        <v>1475794</v>
      </c>
    </row>
    <row r="102" spans="2:7" ht="12.75" customHeight="1" thickBot="1">
      <c r="C102" s="116"/>
      <c r="D102" s="116"/>
      <c r="E102" s="225"/>
      <c r="F102" s="110" t="s">
        <v>332</v>
      </c>
      <c r="G102" s="111">
        <f>[28]Amortizaciones!D19</f>
        <v>6729976</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317642482</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52844865</v>
      </c>
    </row>
    <row r="110" spans="2:7" ht="6.75" customHeight="1" thickBot="1">
      <c r="B110" s="5"/>
      <c r="C110" s="227"/>
      <c r="D110" s="227"/>
      <c r="E110" s="138"/>
      <c r="F110" s="116"/>
      <c r="G110" s="116"/>
    </row>
    <row r="111" spans="2:7" ht="15" customHeight="1" thickBot="1">
      <c r="C111" s="72" t="s">
        <v>269</v>
      </c>
      <c r="D111" s="118">
        <f>+[28]E.S.P.!D6</f>
        <v>2021</v>
      </c>
      <c r="E111" s="225"/>
      <c r="F111" s="72" t="s">
        <v>340</v>
      </c>
      <c r="G111" s="118">
        <f>+[28]E.S.P.!D6</f>
        <v>2021</v>
      </c>
    </row>
    <row r="112" spans="2:7" ht="13.7" customHeight="1">
      <c r="B112" s="5" t="s">
        <v>341</v>
      </c>
      <c r="C112" s="119" t="s">
        <v>342</v>
      </c>
      <c r="D112" s="120">
        <v>4300287</v>
      </c>
      <c r="E112" s="138" t="s">
        <v>343</v>
      </c>
      <c r="F112" s="119" t="s">
        <v>308</v>
      </c>
      <c r="G112" s="120">
        <v>0</v>
      </c>
    </row>
    <row r="113" spans="2:7" ht="13.7" customHeight="1">
      <c r="B113" s="5" t="s">
        <v>344</v>
      </c>
      <c r="C113" s="121" t="s">
        <v>345</v>
      </c>
      <c r="D113" s="122">
        <v>22961748</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0</v>
      </c>
      <c r="E115" s="138" t="s">
        <v>353</v>
      </c>
      <c r="F115" s="121" t="s">
        <v>354</v>
      </c>
      <c r="G115" s="122">
        <v>0</v>
      </c>
    </row>
    <row r="116" spans="2:7" ht="13.7" customHeight="1">
      <c r="B116" s="5" t="s">
        <v>355</v>
      </c>
      <c r="C116" s="121" t="s">
        <v>356</v>
      </c>
      <c r="D116" s="122">
        <v>0</v>
      </c>
      <c r="E116" s="138" t="s">
        <v>357</v>
      </c>
      <c r="F116" s="121" t="s">
        <v>358</v>
      </c>
      <c r="G116" s="122">
        <v>0</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1228075</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741527</v>
      </c>
      <c r="E121" s="138" t="s">
        <v>377</v>
      </c>
      <c r="F121" s="121" t="s">
        <v>378</v>
      </c>
      <c r="G121" s="122">
        <f>3120+251936</f>
        <v>255056</v>
      </c>
    </row>
    <row r="122" spans="2:7" ht="13.7" customHeight="1" thickBot="1">
      <c r="B122" s="5"/>
      <c r="C122" s="85" t="s">
        <v>379</v>
      </c>
      <c r="D122" s="94">
        <f>SUM(D112:D121)</f>
        <v>28003562</v>
      </c>
      <c r="E122" s="138" t="s">
        <v>380</v>
      </c>
      <c r="F122" s="78" t="s">
        <v>381</v>
      </c>
      <c r="G122" s="79">
        <v>40341</v>
      </c>
    </row>
    <row r="123" spans="2:7" ht="13.7" customHeight="1" thickBot="1">
      <c r="B123" s="5" t="s">
        <v>382</v>
      </c>
      <c r="C123" s="123" t="s">
        <v>308</v>
      </c>
      <c r="D123" s="120">
        <v>348300</v>
      </c>
      <c r="E123" s="225"/>
      <c r="F123" s="85" t="s">
        <v>383</v>
      </c>
      <c r="G123" s="94">
        <f>SUM(G112:G122)</f>
        <v>1523472</v>
      </c>
    </row>
    <row r="124" spans="2:7" ht="13.7" customHeight="1">
      <c r="B124" s="5" t="s">
        <v>384</v>
      </c>
      <c r="C124" s="121" t="s">
        <v>312</v>
      </c>
      <c r="D124" s="122">
        <v>0</v>
      </c>
      <c r="E124" s="138" t="s">
        <v>385</v>
      </c>
      <c r="F124" s="121" t="s">
        <v>386</v>
      </c>
      <c r="G124" s="122">
        <v>0</v>
      </c>
    </row>
    <row r="125" spans="2:7" ht="13.7" customHeight="1">
      <c r="B125" s="5" t="s">
        <v>387</v>
      </c>
      <c r="C125" s="78" t="s">
        <v>388</v>
      </c>
      <c r="D125" s="122">
        <v>25809</v>
      </c>
      <c r="E125" s="138" t="s">
        <v>389</v>
      </c>
      <c r="F125" s="121" t="s">
        <v>390</v>
      </c>
      <c r="G125" s="122">
        <v>0</v>
      </c>
    </row>
    <row r="126" spans="2:7" ht="13.7" customHeight="1" thickBot="1">
      <c r="B126" s="5"/>
      <c r="C126" s="85" t="s">
        <v>391</v>
      </c>
      <c r="D126" s="94">
        <f>SUM(D123:D125)</f>
        <v>374109</v>
      </c>
      <c r="E126" s="138" t="s">
        <v>392</v>
      </c>
      <c r="F126" s="121" t="s">
        <v>393</v>
      </c>
      <c r="G126" s="122">
        <v>0</v>
      </c>
    </row>
    <row r="127" spans="2:7" ht="13.7" customHeight="1">
      <c r="B127" s="5" t="s">
        <v>394</v>
      </c>
      <c r="C127" s="119" t="s">
        <v>273</v>
      </c>
      <c r="D127" s="120">
        <v>182784</v>
      </c>
      <c r="E127" s="138" t="s">
        <v>395</v>
      </c>
      <c r="F127" s="121" t="s">
        <v>396</v>
      </c>
      <c r="G127" s="122">
        <v>0</v>
      </c>
    </row>
    <row r="128" spans="2:7" ht="13.7" customHeight="1">
      <c r="B128" s="5" t="s">
        <v>397</v>
      </c>
      <c r="C128" s="121" t="s">
        <v>398</v>
      </c>
      <c r="D128" s="122">
        <v>484407</v>
      </c>
      <c r="E128" s="138" t="s">
        <v>399</v>
      </c>
      <c r="F128" s="121" t="s">
        <v>400</v>
      </c>
      <c r="G128" s="122">
        <v>0</v>
      </c>
    </row>
    <row r="129" spans="2:7" ht="13.7" customHeight="1">
      <c r="B129" s="5" t="s">
        <v>401</v>
      </c>
      <c r="C129" s="121" t="s">
        <v>276</v>
      </c>
      <c r="D129" s="122">
        <v>177227</v>
      </c>
      <c r="E129" s="138" t="s">
        <v>402</v>
      </c>
      <c r="F129" s="121" t="s">
        <v>403</v>
      </c>
      <c r="G129" s="122">
        <v>0</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500682</v>
      </c>
    </row>
    <row r="133" spans="2:7" ht="13.7" customHeight="1">
      <c r="B133" s="5" t="s">
        <v>413</v>
      </c>
      <c r="C133" s="121" t="s">
        <v>294</v>
      </c>
      <c r="D133" s="122">
        <v>0</v>
      </c>
      <c r="E133" s="138" t="s">
        <v>414</v>
      </c>
      <c r="F133" s="121" t="s">
        <v>415</v>
      </c>
      <c r="G133" s="122">
        <v>0</v>
      </c>
    </row>
    <row r="134" spans="2:7" ht="13.7" customHeight="1">
      <c r="B134" s="5" t="s">
        <v>416</v>
      </c>
      <c r="C134" s="121" t="s">
        <v>417</v>
      </c>
      <c r="D134" s="122">
        <v>279988</v>
      </c>
      <c r="E134" s="138" t="s">
        <v>418</v>
      </c>
      <c r="F134" s="121" t="s">
        <v>419</v>
      </c>
      <c r="G134" s="122">
        <v>0</v>
      </c>
    </row>
    <row r="135" spans="2:7" ht="13.7" customHeight="1">
      <c r="B135" s="5" t="s">
        <v>420</v>
      </c>
      <c r="C135" s="121" t="s">
        <v>421</v>
      </c>
      <c r="D135" s="122">
        <f>61916+284927+252129</f>
        <v>598972</v>
      </c>
      <c r="E135" s="138" t="s">
        <v>422</v>
      </c>
      <c r="F135" s="121" t="s">
        <v>423</v>
      </c>
      <c r="G135" s="122">
        <v>0</v>
      </c>
    </row>
    <row r="136" spans="2:7" ht="13.7" customHeight="1">
      <c r="B136" s="5" t="s">
        <v>424</v>
      </c>
      <c r="C136" s="121" t="s">
        <v>317</v>
      </c>
      <c r="D136" s="122">
        <v>4645493</v>
      </c>
      <c r="E136" s="138" t="s">
        <v>425</v>
      </c>
      <c r="F136" s="121" t="s">
        <v>426</v>
      </c>
      <c r="G136" s="122">
        <v>0</v>
      </c>
    </row>
    <row r="137" spans="2:7" ht="13.7" customHeight="1">
      <c r="B137" s="5" t="s">
        <v>427</v>
      </c>
      <c r="C137" s="78" t="s">
        <v>319</v>
      </c>
      <c r="D137" s="124">
        <f>182707-25809</f>
        <v>156898</v>
      </c>
      <c r="E137" s="138" t="s">
        <v>428</v>
      </c>
      <c r="F137" s="121" t="s">
        <v>429</v>
      </c>
      <c r="G137" s="122">
        <f>4085064+680721+1735766</f>
        <v>6501551</v>
      </c>
    </row>
    <row r="138" spans="2:7" ht="13.7" customHeight="1" thickBot="1">
      <c r="B138" s="5"/>
      <c r="C138" s="85" t="s">
        <v>320</v>
      </c>
      <c r="D138" s="94">
        <f>SUM(D127:D137)</f>
        <v>6525769</v>
      </c>
      <c r="E138" s="138" t="s">
        <v>430</v>
      </c>
      <c r="F138" s="78" t="s">
        <v>431</v>
      </c>
      <c r="G138" s="79">
        <v>143248</v>
      </c>
    </row>
    <row r="139" spans="2:7" ht="13.7" customHeight="1" thickBot="1">
      <c r="B139" s="5" t="s">
        <v>432</v>
      </c>
      <c r="C139" s="119" t="s">
        <v>326</v>
      </c>
      <c r="D139" s="120">
        <v>0</v>
      </c>
      <c r="E139" s="228"/>
      <c r="F139" s="85" t="s">
        <v>433</v>
      </c>
      <c r="G139" s="94">
        <f>SUM(G124:G138)</f>
        <v>7145481</v>
      </c>
    </row>
    <row r="140" spans="2:7" ht="13.7" customHeight="1" thickBot="1">
      <c r="B140" s="5" t="s">
        <v>434</v>
      </c>
      <c r="C140" s="121" t="s">
        <v>328</v>
      </c>
      <c r="D140" s="122">
        <v>0</v>
      </c>
      <c r="E140" s="228"/>
      <c r="F140" s="110" t="s">
        <v>435</v>
      </c>
      <c r="G140" s="126">
        <f>G123-G139</f>
        <v>-5622009</v>
      </c>
    </row>
    <row r="141" spans="2:7" ht="13.7" customHeight="1">
      <c r="B141" s="5" t="s">
        <v>436</v>
      </c>
      <c r="C141" s="78" t="s">
        <v>330</v>
      </c>
      <c r="D141" s="124">
        <v>0</v>
      </c>
      <c r="E141" s="229"/>
      <c r="F141" s="116"/>
      <c r="G141" s="116"/>
    </row>
    <row r="142" spans="2:7" ht="13.7" customHeight="1" thickBot="1">
      <c r="B142" s="5"/>
      <c r="C142" s="85" t="s">
        <v>331</v>
      </c>
      <c r="D142" s="94">
        <f>SUM(D139:D141)</f>
        <v>0</v>
      </c>
      <c r="E142" s="229"/>
      <c r="F142" s="116"/>
      <c r="G142" s="116"/>
    </row>
    <row r="143" spans="2:7" ht="13.5" customHeight="1" thickBot="1">
      <c r="B143" s="5"/>
      <c r="C143" s="110" t="s">
        <v>521</v>
      </c>
      <c r="D143" s="126">
        <f>[28]Amortizaciones!D33</f>
        <v>0</v>
      </c>
      <c r="E143" s="138"/>
      <c r="F143" s="72" t="s">
        <v>437</v>
      </c>
      <c r="G143" s="118">
        <f>+[28]E.S.P.!D6</f>
        <v>2021</v>
      </c>
    </row>
    <row r="144" spans="2:7" ht="13.7" customHeight="1">
      <c r="B144" s="5" t="s">
        <v>438</v>
      </c>
      <c r="C144" s="119" t="s">
        <v>439</v>
      </c>
      <c r="D144" s="120">
        <v>0</v>
      </c>
      <c r="E144" s="138" t="s">
        <v>440</v>
      </c>
      <c r="F144" s="119" t="s">
        <v>441</v>
      </c>
      <c r="G144" s="120">
        <v>0</v>
      </c>
    </row>
    <row r="145" spans="2:7" ht="13.7" customHeight="1">
      <c r="B145" s="5" t="s">
        <v>442</v>
      </c>
      <c r="C145" s="121" t="s">
        <v>443</v>
      </c>
      <c r="D145" s="122">
        <v>0</v>
      </c>
      <c r="E145" s="138" t="s">
        <v>444</v>
      </c>
      <c r="F145" s="121" t="s">
        <v>445</v>
      </c>
      <c r="G145" s="122">
        <v>87387</v>
      </c>
    </row>
    <row r="146" spans="2:7" ht="13.7" customHeight="1">
      <c r="B146" s="5" t="s">
        <v>446</v>
      </c>
      <c r="C146" s="128" t="s">
        <v>447</v>
      </c>
      <c r="D146" s="122">
        <v>0</v>
      </c>
      <c r="E146" s="138" t="s">
        <v>448</v>
      </c>
      <c r="F146" s="121" t="s">
        <v>449</v>
      </c>
      <c r="G146" s="122">
        <v>0</v>
      </c>
    </row>
    <row r="147" spans="2:7" ht="13.7" customHeight="1">
      <c r="B147" s="5" t="s">
        <v>450</v>
      </c>
      <c r="C147" s="78" t="s">
        <v>451</v>
      </c>
      <c r="D147" s="124">
        <v>0</v>
      </c>
      <c r="E147" s="138" t="s">
        <v>452</v>
      </c>
      <c r="F147" s="121" t="s">
        <v>453</v>
      </c>
      <c r="G147" s="122">
        <v>0</v>
      </c>
    </row>
    <row r="148" spans="2:7" ht="13.7" customHeight="1" thickBot="1">
      <c r="B148" s="5"/>
      <c r="C148" s="85" t="s">
        <v>522</v>
      </c>
      <c r="D148" s="94">
        <f>SUM(D144:D147)</f>
        <v>0</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0</v>
      </c>
    </row>
    <row r="152" spans="2:7" ht="13.7" customHeight="1" thickBot="1">
      <c r="B152" s="5"/>
      <c r="C152" s="85" t="s">
        <v>468</v>
      </c>
      <c r="D152" s="94">
        <f>SUM(D149:D151)</f>
        <v>0</v>
      </c>
      <c r="E152" s="138" t="s">
        <v>469</v>
      </c>
      <c r="F152" s="121" t="s">
        <v>470</v>
      </c>
      <c r="G152" s="122">
        <v>3213555</v>
      </c>
    </row>
    <row r="153" spans="2:7" ht="15" customHeight="1" thickBot="1">
      <c r="B153" s="5"/>
      <c r="C153" s="110" t="s">
        <v>471</v>
      </c>
      <c r="D153" s="129">
        <f>D122+D126+D138+D142+D143+D148+D152</f>
        <v>34903440</v>
      </c>
      <c r="E153" s="138" t="s">
        <v>472</v>
      </c>
      <c r="F153" s="78" t="s">
        <v>473</v>
      </c>
      <c r="G153" s="79">
        <v>0</v>
      </c>
    </row>
    <row r="154" spans="2:7" ht="13.7" customHeight="1" thickBot="1">
      <c r="B154" s="5"/>
      <c r="C154" s="116"/>
      <c r="D154" s="116"/>
      <c r="E154" s="138"/>
      <c r="F154" s="85" t="s">
        <v>474</v>
      </c>
      <c r="G154" s="94">
        <f>SUM(G144:G153)</f>
        <v>3300942</v>
      </c>
    </row>
    <row r="155" spans="2:7" ht="13.5" customHeight="1" thickBot="1">
      <c r="B155" s="5"/>
      <c r="C155" s="72" t="s">
        <v>475</v>
      </c>
      <c r="D155" s="103">
        <f>G109-D153</f>
        <v>17941425</v>
      </c>
      <c r="E155" s="138" t="s">
        <v>476</v>
      </c>
      <c r="F155" s="119" t="s">
        <v>477</v>
      </c>
      <c r="G155" s="120">
        <f>2774729+1266156+1037494+174630+2</f>
        <v>5253011</v>
      </c>
    </row>
    <row r="156" spans="2:7" ht="13.7" customHeight="1">
      <c r="C156" s="116"/>
      <c r="D156" s="116"/>
      <c r="E156" s="138" t="s">
        <v>478</v>
      </c>
      <c r="F156" s="121" t="s">
        <v>479</v>
      </c>
      <c r="G156" s="122">
        <v>2063588</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3003827</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1099036</v>
      </c>
    </row>
    <row r="166" spans="3:7" ht="13.7" customHeight="1">
      <c r="C166" s="116"/>
      <c r="D166" s="116"/>
      <c r="E166" s="138" t="s">
        <v>498</v>
      </c>
      <c r="F166" s="121" t="s">
        <v>499</v>
      </c>
      <c r="G166" s="122"/>
    </row>
    <row r="167" spans="3:7" ht="13.7" customHeight="1">
      <c r="C167" s="116"/>
      <c r="D167" s="116"/>
      <c r="E167" s="138" t="s">
        <v>500</v>
      </c>
      <c r="F167" s="78" t="s">
        <v>501</v>
      </c>
      <c r="G167" s="79">
        <v>0</v>
      </c>
    </row>
    <row r="168" spans="3:7" ht="13.7" customHeight="1" thickBot="1">
      <c r="C168" s="116"/>
      <c r="D168" s="116"/>
      <c r="E168" s="138"/>
      <c r="F168" s="85" t="s">
        <v>502</v>
      </c>
      <c r="G168" s="94">
        <f>SUM(G155:G167)</f>
        <v>11419462</v>
      </c>
    </row>
    <row r="169" spans="3:7" ht="13.7" customHeight="1" thickBot="1">
      <c r="C169" s="116"/>
      <c r="D169" s="116"/>
      <c r="E169" s="138"/>
      <c r="F169" s="110" t="s">
        <v>503</v>
      </c>
      <c r="G169" s="126">
        <f>G154-G168</f>
        <v>-8118520</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4200896</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523</v>
      </c>
      <c r="G180" s="131"/>
    </row>
    <row r="181" spans="1:8" ht="16.5" customHeight="1" thickBot="1">
      <c r="C181" s="116"/>
      <c r="D181" s="116"/>
      <c r="E181" s="138"/>
      <c r="F181" s="132"/>
      <c r="G181" s="133">
        <f>+G172+G178</f>
        <v>4200896</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203" priority="2" stopIfTrue="1" operator="greaterThan">
      <formula>50</formula>
    </cfRule>
    <cfRule type="cellIs" dxfId="202" priority="10" stopIfTrue="1" operator="equal">
      <formula>0</formula>
    </cfRule>
  </conditionalFormatting>
  <conditionalFormatting sqref="D7:D61">
    <cfRule type="cellIs" dxfId="201" priority="8" stopIfTrue="1" operator="between">
      <formula>-0.1</formula>
      <formula>-50</formula>
    </cfRule>
    <cfRule type="cellIs" dxfId="200" priority="9" stopIfTrue="1" operator="between">
      <formula>0.1</formula>
      <formula>50</formula>
    </cfRule>
  </conditionalFormatting>
  <conditionalFormatting sqref="G152:G181 G7:G150">
    <cfRule type="cellIs" dxfId="199" priority="6" stopIfTrue="1" operator="between">
      <formula>-0.1</formula>
      <formula>-50</formula>
    </cfRule>
    <cfRule type="cellIs" dxfId="198" priority="7" stopIfTrue="1" operator="between">
      <formula>0.1</formula>
      <formula>50</formula>
    </cfRule>
  </conditionalFormatting>
  <conditionalFormatting sqref="D111:D155">
    <cfRule type="cellIs" dxfId="197" priority="4" stopIfTrue="1" operator="between">
      <formula>-0.1</formula>
      <formula>-50</formula>
    </cfRule>
    <cfRule type="cellIs" dxfId="196" priority="5" stopIfTrue="1" operator="between">
      <formula>0.1</formula>
      <formula>50</formula>
    </cfRule>
  </conditionalFormatting>
  <conditionalFormatting sqref="G165">
    <cfRule type="expression" dxfId="195" priority="3" stopIfTrue="1">
      <formula>AND($G$165&gt;0,$G$151&gt;0)</formula>
    </cfRule>
  </conditionalFormatting>
  <conditionalFormatting sqref="G151">
    <cfRule type="expression" dxfId="194" priority="1" stopIfTrue="1">
      <formula>AND($G$151&gt;0,$G$165&gt;0)</formula>
    </cfRule>
  </conditionalFormatting>
  <dataValidations count="11">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 operator="greaterThanOrEqual" allowBlank="1" errorTitle="Error de datos" error="Debe ingresar un valor entero positivo" sqref="F6:F107 F203 C13:C47 C106:C153 F171 F174:F178 F180 F111:F119 C7:C10 F121:F140 F143:F169 C49:C62 C155 F109"/>
    <dataValidation allowBlank="1" sqref="G204"/>
    <dataValidation allowBlank="1" errorTitle="Error de datos" error="Debe introducir una fecha válida" sqref="E3"/>
    <dataValidation type="whole" allowBlank="1" showErrorMessage="1" errorTitle="Error de datos" error="Debe ingresar un valor entre 1 y 12" sqref="G1:G3">
      <formula1>1</formula1>
      <formula2>12</formula2>
    </dataValidation>
    <dataValidation type="custom" operator="greaterThan" showInputMessage="1" showErrorMessage="1" errorTitle="eee" sqref="G7:G140 D62:D155 G152:G164 G166:G181 G144:G150 D13:D55">
      <formula1>OR(D7=0, D7&gt;50)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D56">
      <formula1>OR(D56=0, D56&lt;50)</formula1>
    </dataValidation>
    <dataValidation type="whole" operator="greaterThan" showInputMessage="1" showErrorMessage="1" errorTitle="eee" error="Valores mayores a $50" sqref="D7">
      <formula1>50</formula1>
    </dataValidation>
    <dataValidation type="whole" operator="greaterThan" allowBlank="1" showInputMessage="1" showErrorMessage="1" sqref="D8:D12">
      <formula1>50</formula1>
    </dataValidation>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s>
  <printOptions horizontalCentered="1"/>
  <pageMargins left="0.23622047244094491" right="0.23622047244094491" top="0.35433070866141736" bottom="0.74803149606299213" header="0.31496062992125984" footer="0.31496062992125984"/>
  <pageSetup paperSize="9" scale="54" fitToHeight="2" orientation="portrait" horizontalDpi="4294967293" r:id="rId1"/>
  <headerFooter alignWithMargins="0"/>
  <rowBreaks count="3" manualBreakCount="3">
    <brk id="79" min="2" max="8" man="1"/>
    <brk id="181" min="2" max="8" man="1"/>
    <brk id="185" min="2" max="8" man="1"/>
  </rowBreaks>
  <ignoredErrors>
    <ignoredError sqref="D9:D22 D30:D42 D135:D137 G23:G28 G54:G65 G75:G78 G89:G97 G121 G137 G155" unlockedFormula="1"/>
    <ignoredError sqref="E7:E1048576" numberStoredAsText="1"/>
    <ignoredError sqref="G40"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0" sqref="C170"/>
    </sheetView>
  </sheetViews>
  <sheetFormatPr baseColWidth="10" defaultColWidth="0" defaultRowHeight="15.75" zeroHeight="1"/>
  <cols>
    <col min="1" max="1" width="3" style="1" customWidth="1"/>
    <col min="2" max="2" width="14.28515625" style="6" hidden="1" customWidth="1"/>
    <col min="3" max="3" width="57.28515625" style="19" customWidth="1"/>
    <col min="4" max="4" width="21" style="19" customWidth="1"/>
    <col min="5" max="5" width="3.85546875" style="13" customWidth="1"/>
    <col min="6" max="6" width="57.28515625" style="19" customWidth="1"/>
    <col min="7" max="7" width="21" style="19" customWidth="1"/>
    <col min="8" max="8" width="3.42578125" style="4" customWidth="1"/>
    <col min="9" max="16384" width="0" style="4" hidden="1"/>
  </cols>
  <sheetData>
    <row r="1" spans="1:9">
      <c r="B1" s="2"/>
      <c r="C1" s="255" t="s">
        <v>0</v>
      </c>
      <c r="D1" s="258"/>
      <c r="E1" s="253" t="str">
        <f>[29]Presentacion!C3</f>
        <v>CASMER - IAMPP</v>
      </c>
      <c r="F1" s="253"/>
      <c r="G1" s="136"/>
      <c r="H1" s="3"/>
    </row>
    <row r="2" spans="1:9">
      <c r="B2" s="5"/>
      <c r="C2" s="255" t="s">
        <v>1</v>
      </c>
      <c r="D2" s="258"/>
      <c r="E2" s="253" t="str">
        <f>[29]Presentacion!C4</f>
        <v>Rivera</v>
      </c>
      <c r="F2" s="253"/>
      <c r="G2" s="136"/>
      <c r="H2" s="3"/>
    </row>
    <row r="3" spans="1:9">
      <c r="B3" s="5"/>
      <c r="C3" s="255" t="s">
        <v>2</v>
      </c>
      <c r="D3" s="255"/>
      <c r="E3" s="254" t="s">
        <v>3</v>
      </c>
      <c r="F3" s="254"/>
      <c r="G3" s="136"/>
      <c r="H3" s="3"/>
    </row>
    <row r="4" spans="1:9" ht="15" customHeight="1" thickBot="1">
      <c r="C4" s="65"/>
      <c r="D4" s="7"/>
      <c r="E4" s="8"/>
      <c r="F4" s="9"/>
      <c r="G4" s="10"/>
    </row>
    <row r="5" spans="1:9" ht="18" customHeight="1" thickBot="1">
      <c r="B5" s="11"/>
      <c r="C5" s="72" t="s">
        <v>4</v>
      </c>
      <c r="D5" s="73" t="s">
        <v>5</v>
      </c>
      <c r="E5" s="137"/>
      <c r="F5" s="72" t="s">
        <v>6</v>
      </c>
      <c r="G5" s="73" t="s">
        <v>5</v>
      </c>
      <c r="I5" s="12"/>
    </row>
    <row r="6" spans="1:9" ht="12.75" customHeight="1" thickBot="1">
      <c r="B6" s="11"/>
      <c r="C6" s="75" t="s">
        <v>7</v>
      </c>
      <c r="D6" s="76">
        <f>+[29]E.S.P.!D6</f>
        <v>2021</v>
      </c>
      <c r="E6" s="138"/>
      <c r="F6" s="75" t="s">
        <v>8</v>
      </c>
      <c r="G6" s="76">
        <f>+D6</f>
        <v>2021</v>
      </c>
      <c r="H6" s="12"/>
    </row>
    <row r="7" spans="1:9">
      <c r="B7" s="5" t="s">
        <v>9</v>
      </c>
      <c r="C7" s="78" t="s">
        <v>10</v>
      </c>
      <c r="D7" s="79">
        <v>35797492</v>
      </c>
      <c r="E7" s="138" t="s">
        <v>11</v>
      </c>
      <c r="F7" s="80" t="s">
        <v>12</v>
      </c>
      <c r="G7" s="81">
        <v>4178288</v>
      </c>
    </row>
    <row r="8" spans="1:9">
      <c r="B8" s="5" t="s">
        <v>13</v>
      </c>
      <c r="C8" s="78" t="s">
        <v>14</v>
      </c>
      <c r="D8" s="79">
        <v>51427985</v>
      </c>
      <c r="E8" s="138" t="s">
        <v>15</v>
      </c>
      <c r="F8" s="78" t="s">
        <v>16</v>
      </c>
      <c r="G8" s="82">
        <v>110041380</v>
      </c>
    </row>
    <row r="9" spans="1:9">
      <c r="B9" s="5" t="s">
        <v>17</v>
      </c>
      <c r="C9" s="78" t="s">
        <v>18</v>
      </c>
      <c r="D9" s="79">
        <v>1084333088</v>
      </c>
      <c r="E9" s="138" t="s">
        <v>19</v>
      </c>
      <c r="F9" s="78" t="s">
        <v>20</v>
      </c>
      <c r="G9" s="79">
        <v>17848053.780000001</v>
      </c>
    </row>
    <row r="10" spans="1:9">
      <c r="B10" s="5" t="s">
        <v>21</v>
      </c>
      <c r="C10" s="78" t="s">
        <v>22</v>
      </c>
      <c r="D10" s="79">
        <v>106885083</v>
      </c>
      <c r="E10" s="138" t="s">
        <v>23</v>
      </c>
      <c r="F10" s="78" t="s">
        <v>24</v>
      </c>
      <c r="G10" s="79">
        <v>175087935</v>
      </c>
    </row>
    <row r="11" spans="1:9">
      <c r="B11" s="5" t="s">
        <v>25</v>
      </c>
      <c r="C11" s="78" t="s">
        <v>26</v>
      </c>
      <c r="D11" s="79">
        <v>21324096</v>
      </c>
      <c r="E11" s="138" t="s">
        <v>27</v>
      </c>
      <c r="F11" s="78" t="s">
        <v>28</v>
      </c>
      <c r="G11" s="79">
        <v>15407804</v>
      </c>
    </row>
    <row r="12" spans="1:9">
      <c r="B12" s="5" t="s">
        <v>29</v>
      </c>
      <c r="C12" s="78" t="s">
        <v>30</v>
      </c>
      <c r="D12" s="79">
        <v>28390477</v>
      </c>
      <c r="E12" s="138" t="s">
        <v>31</v>
      </c>
      <c r="F12" s="78" t="s">
        <v>32</v>
      </c>
      <c r="G12" s="79">
        <v>59871813</v>
      </c>
    </row>
    <row r="13" spans="1:9">
      <c r="B13" s="5" t="s">
        <v>33</v>
      </c>
      <c r="C13" s="78" t="s">
        <v>34</v>
      </c>
      <c r="D13" s="79">
        <v>0</v>
      </c>
      <c r="E13" s="138" t="s">
        <v>35</v>
      </c>
      <c r="F13" s="78" t="s">
        <v>36</v>
      </c>
      <c r="G13" s="79">
        <v>4900218</v>
      </c>
    </row>
    <row r="14" spans="1:9">
      <c r="A14" s="14"/>
      <c r="B14" s="5" t="s">
        <v>37</v>
      </c>
      <c r="C14" s="78" t="s">
        <v>38</v>
      </c>
      <c r="D14" s="79">
        <v>4336872</v>
      </c>
      <c r="E14" s="138" t="s">
        <v>39</v>
      </c>
      <c r="F14" s="78" t="s">
        <v>40</v>
      </c>
      <c r="G14" s="79">
        <v>200578471</v>
      </c>
    </row>
    <row r="15" spans="1:9">
      <c r="B15" s="5" t="s">
        <v>41</v>
      </c>
      <c r="C15" s="83" t="s">
        <v>42</v>
      </c>
      <c r="D15" s="79">
        <v>0</v>
      </c>
      <c r="E15" s="138" t="s">
        <v>43</v>
      </c>
      <c r="F15" s="78" t="s">
        <v>44</v>
      </c>
      <c r="G15" s="79">
        <v>87702544</v>
      </c>
    </row>
    <row r="16" spans="1:9">
      <c r="B16" s="5" t="s">
        <v>45</v>
      </c>
      <c r="C16" s="78" t="s">
        <v>46</v>
      </c>
      <c r="D16" s="79">
        <v>0</v>
      </c>
      <c r="E16" s="138" t="s">
        <v>47</v>
      </c>
      <c r="F16" s="78" t="s">
        <v>48</v>
      </c>
      <c r="G16" s="79">
        <v>103212721</v>
      </c>
    </row>
    <row r="17" spans="1:7">
      <c r="B17" s="5" t="s">
        <v>49</v>
      </c>
      <c r="C17" s="78" t="s">
        <v>50</v>
      </c>
      <c r="D17" s="79">
        <v>0</v>
      </c>
      <c r="E17" s="138" t="s">
        <v>51</v>
      </c>
      <c r="F17" s="78" t="s">
        <v>52</v>
      </c>
      <c r="G17" s="79">
        <v>0</v>
      </c>
    </row>
    <row r="18" spans="1:7">
      <c r="A18" s="14"/>
      <c r="B18" s="5" t="s">
        <v>53</v>
      </c>
      <c r="C18" s="78" t="s">
        <v>54</v>
      </c>
      <c r="D18" s="79">
        <f>5864459+680395+223286</f>
        <v>6768140</v>
      </c>
      <c r="E18" s="138" t="s">
        <v>55</v>
      </c>
      <c r="F18" s="78" t="s">
        <v>56</v>
      </c>
      <c r="G18" s="84">
        <v>26514838</v>
      </c>
    </row>
    <row r="19" spans="1:7" ht="16.5" thickBot="1">
      <c r="A19" s="14"/>
      <c r="B19" s="5" t="s">
        <v>57</v>
      </c>
      <c r="C19" s="78" t="s">
        <v>58</v>
      </c>
      <c r="D19" s="79">
        <v>45893456</v>
      </c>
      <c r="E19" s="138"/>
      <c r="F19" s="85" t="s">
        <v>59</v>
      </c>
      <c r="G19" s="86">
        <f>SUM(G7:G18)</f>
        <v>805344065.77999997</v>
      </c>
    </row>
    <row r="20" spans="1:7" ht="16.5" thickBot="1">
      <c r="B20" s="5"/>
      <c r="C20" s="85" t="s">
        <v>60</v>
      </c>
      <c r="D20" s="86">
        <f>SUM(D7:D19)</f>
        <v>1385156689</v>
      </c>
      <c r="E20" s="138" t="s">
        <v>61</v>
      </c>
      <c r="F20" s="80" t="s">
        <v>62</v>
      </c>
      <c r="G20" s="81">
        <v>310765</v>
      </c>
    </row>
    <row r="21" spans="1:7">
      <c r="B21" s="5"/>
      <c r="C21" s="87" t="s">
        <v>63</v>
      </c>
      <c r="D21" s="88">
        <f>SUM(D22:D28)</f>
        <v>8769802</v>
      </c>
      <c r="E21" s="138" t="s">
        <v>64</v>
      </c>
      <c r="F21" s="78" t="s">
        <v>65</v>
      </c>
      <c r="G21" s="79">
        <v>23644718</v>
      </c>
    </row>
    <row r="22" spans="1:7">
      <c r="B22" s="5" t="s">
        <v>66</v>
      </c>
      <c r="C22" s="78" t="s">
        <v>67</v>
      </c>
      <c r="D22" s="79">
        <v>5098698</v>
      </c>
      <c r="E22" s="138" t="s">
        <v>68</v>
      </c>
      <c r="F22" s="78" t="s">
        <v>69</v>
      </c>
      <c r="G22" s="79">
        <v>3154671</v>
      </c>
    </row>
    <row r="23" spans="1:7">
      <c r="B23" s="5" t="s">
        <v>70</v>
      </c>
      <c r="C23" s="78" t="s">
        <v>71</v>
      </c>
      <c r="D23" s="79">
        <v>385267</v>
      </c>
      <c r="E23" s="138" t="s">
        <v>72</v>
      </c>
      <c r="F23" s="78" t="s">
        <v>73</v>
      </c>
      <c r="G23" s="79">
        <f>14689274+11846+4217878</f>
        <v>18918998</v>
      </c>
    </row>
    <row r="24" spans="1:7">
      <c r="B24" s="5" t="s">
        <v>74</v>
      </c>
      <c r="C24" s="78" t="s">
        <v>75</v>
      </c>
      <c r="D24" s="79">
        <v>503751</v>
      </c>
      <c r="E24" s="138" t="s">
        <v>76</v>
      </c>
      <c r="F24" s="78" t="s">
        <v>77</v>
      </c>
      <c r="G24" s="79">
        <v>0</v>
      </c>
    </row>
    <row r="25" spans="1:7">
      <c r="B25" s="5" t="s">
        <v>78</v>
      </c>
      <c r="C25" s="78" t="s">
        <v>79</v>
      </c>
      <c r="D25" s="79">
        <v>1460873</v>
      </c>
      <c r="E25" s="138" t="s">
        <v>80</v>
      </c>
      <c r="F25" s="78" t="s">
        <v>81</v>
      </c>
      <c r="G25" s="79">
        <v>0</v>
      </c>
    </row>
    <row r="26" spans="1:7">
      <c r="B26" s="5" t="s">
        <v>82</v>
      </c>
      <c r="C26" s="78" t="s">
        <v>83</v>
      </c>
      <c r="D26" s="79">
        <v>791937</v>
      </c>
      <c r="E26" s="138" t="s">
        <v>84</v>
      </c>
      <c r="F26" s="78" t="s">
        <v>85</v>
      </c>
      <c r="G26" s="84">
        <v>1612078</v>
      </c>
    </row>
    <row r="27" spans="1:7" ht="13.5" customHeight="1" thickBot="1">
      <c r="B27" s="5" t="s">
        <v>86</v>
      </c>
      <c r="C27" s="78" t="s">
        <v>87</v>
      </c>
      <c r="D27" s="79">
        <v>255985</v>
      </c>
      <c r="E27" s="138"/>
      <c r="F27" s="85" t="s">
        <v>88</v>
      </c>
      <c r="G27" s="86">
        <f>SUM(G20:G26)</f>
        <v>47641230</v>
      </c>
    </row>
    <row r="28" spans="1:7">
      <c r="B28" s="5" t="s">
        <v>89</v>
      </c>
      <c r="C28" s="78" t="s">
        <v>90</v>
      </c>
      <c r="D28" s="79">
        <v>273291</v>
      </c>
      <c r="E28" s="138" t="s">
        <v>91</v>
      </c>
      <c r="F28" s="80" t="s">
        <v>92</v>
      </c>
      <c r="G28" s="81">
        <v>119004312</v>
      </c>
    </row>
    <row r="29" spans="1:7">
      <c r="B29" s="5"/>
      <c r="C29" s="89" t="s">
        <v>93</v>
      </c>
      <c r="D29" s="88">
        <f>SUM(D30:D34)</f>
        <v>80592132</v>
      </c>
      <c r="E29" s="138" t="s">
        <v>94</v>
      </c>
      <c r="F29" s="78" t="s">
        <v>95</v>
      </c>
      <c r="G29" s="79">
        <v>55383809</v>
      </c>
    </row>
    <row r="30" spans="1:7">
      <c r="B30" s="5" t="s">
        <v>96</v>
      </c>
      <c r="C30" s="78" t="s">
        <v>97</v>
      </c>
      <c r="D30" s="79">
        <v>63063526</v>
      </c>
      <c r="E30" s="138" t="s">
        <v>98</v>
      </c>
      <c r="F30" s="78" t="s">
        <v>99</v>
      </c>
      <c r="G30" s="79">
        <v>22178572</v>
      </c>
    </row>
    <row r="31" spans="1:7">
      <c r="B31" s="5" t="s">
        <v>100</v>
      </c>
      <c r="C31" s="78" t="s">
        <v>101</v>
      </c>
      <c r="D31" s="79">
        <v>7652592</v>
      </c>
      <c r="E31" s="138" t="s">
        <v>102</v>
      </c>
      <c r="F31" s="78" t="s">
        <v>103</v>
      </c>
      <c r="G31" s="84">
        <v>6380014</v>
      </c>
    </row>
    <row r="32" spans="1:7" ht="16.5" thickBot="1">
      <c r="B32" s="5" t="s">
        <v>104</v>
      </c>
      <c r="C32" s="78" t="s">
        <v>105</v>
      </c>
      <c r="D32" s="79">
        <v>6221723</v>
      </c>
      <c r="E32" s="138"/>
      <c r="F32" s="85" t="s">
        <v>106</v>
      </c>
      <c r="G32" s="86">
        <f>SUM(G28:G31)</f>
        <v>202946707</v>
      </c>
    </row>
    <row r="33" spans="2:7">
      <c r="B33" s="5" t="s">
        <v>107</v>
      </c>
      <c r="C33" s="78" t="s">
        <v>108</v>
      </c>
      <c r="D33" s="79">
        <v>1089122</v>
      </c>
      <c r="E33" s="138"/>
      <c r="F33" s="89" t="s">
        <v>109</v>
      </c>
      <c r="G33" s="88">
        <f>SUM(G34:G39)</f>
        <v>97519789</v>
      </c>
    </row>
    <row r="34" spans="2:7">
      <c r="B34" s="5" t="s">
        <v>110</v>
      </c>
      <c r="C34" s="78" t="s">
        <v>111</v>
      </c>
      <c r="D34" s="79">
        <v>2565169</v>
      </c>
      <c r="E34" s="138" t="s">
        <v>112</v>
      </c>
      <c r="F34" s="78" t="s">
        <v>113</v>
      </c>
      <c r="G34" s="79">
        <v>5525347</v>
      </c>
    </row>
    <row r="35" spans="2:7" ht="16.5" thickBot="1">
      <c r="B35" s="5"/>
      <c r="C35" s="85" t="s">
        <v>114</v>
      </c>
      <c r="D35" s="86">
        <f>+D21+D29</f>
        <v>89361934</v>
      </c>
      <c r="E35" s="138" t="s">
        <v>115</v>
      </c>
      <c r="F35" s="78" t="s">
        <v>116</v>
      </c>
      <c r="G35" s="79">
        <v>1525478</v>
      </c>
    </row>
    <row r="36" spans="2:7">
      <c r="B36" s="5" t="s">
        <v>117</v>
      </c>
      <c r="C36" s="78" t="s">
        <v>118</v>
      </c>
      <c r="D36" s="79">
        <v>359823</v>
      </c>
      <c r="E36" s="138" t="s">
        <v>119</v>
      </c>
      <c r="F36" s="78" t="s">
        <v>517</v>
      </c>
      <c r="G36" s="79">
        <v>1273783</v>
      </c>
    </row>
    <row r="37" spans="2:7">
      <c r="B37" s="5" t="s">
        <v>120</v>
      </c>
      <c r="C37" s="78" t="s">
        <v>121</v>
      </c>
      <c r="D37" s="79">
        <v>6905288</v>
      </c>
      <c r="E37" s="138" t="s">
        <v>122</v>
      </c>
      <c r="F37" s="78" t="s">
        <v>123</v>
      </c>
      <c r="G37" s="79">
        <v>2234275</v>
      </c>
    </row>
    <row r="38" spans="2:7">
      <c r="B38" s="5" t="s">
        <v>124</v>
      </c>
      <c r="C38" s="78" t="s">
        <v>125</v>
      </c>
      <c r="D38" s="79">
        <v>0</v>
      </c>
      <c r="E38" s="138" t="s">
        <v>126</v>
      </c>
      <c r="F38" s="78" t="s">
        <v>127</v>
      </c>
      <c r="G38" s="79">
        <v>4397023</v>
      </c>
    </row>
    <row r="39" spans="2:7">
      <c r="B39" s="5" t="s">
        <v>128</v>
      </c>
      <c r="C39" s="78" t="s">
        <v>129</v>
      </c>
      <c r="D39" s="79">
        <v>0</v>
      </c>
      <c r="E39" s="138" t="s">
        <v>130</v>
      </c>
      <c r="F39" s="78" t="s">
        <v>131</v>
      </c>
      <c r="G39" s="79">
        <v>82563883</v>
      </c>
    </row>
    <row r="40" spans="2:7">
      <c r="B40" s="5" t="s">
        <v>132</v>
      </c>
      <c r="C40" s="78" t="s">
        <v>133</v>
      </c>
      <c r="D40" s="79">
        <v>9562426</v>
      </c>
      <c r="E40" s="138"/>
      <c r="F40" s="90" t="s">
        <v>134</v>
      </c>
      <c r="G40" s="91">
        <f>SUM(G41:G46)</f>
        <v>19650096</v>
      </c>
    </row>
    <row r="41" spans="2:7">
      <c r="B41" s="5" t="s">
        <v>135</v>
      </c>
      <c r="C41" s="78" t="s">
        <v>136</v>
      </c>
      <c r="D41" s="79">
        <v>0</v>
      </c>
      <c r="E41" s="138" t="s">
        <v>137</v>
      </c>
      <c r="F41" s="78" t="s">
        <v>138</v>
      </c>
      <c r="G41" s="79">
        <v>1423394</v>
      </c>
    </row>
    <row r="42" spans="2:7">
      <c r="B42" s="5" t="s">
        <v>139</v>
      </c>
      <c r="C42" s="78" t="s">
        <v>140</v>
      </c>
      <c r="D42" s="79">
        <f>4146999+1082+740743+57777378</f>
        <v>62666202</v>
      </c>
      <c r="E42" s="138" t="s">
        <v>141</v>
      </c>
      <c r="F42" s="78" t="s">
        <v>142</v>
      </c>
      <c r="G42" s="79">
        <v>288091</v>
      </c>
    </row>
    <row r="43" spans="2:7">
      <c r="B43" s="5" t="s">
        <v>143</v>
      </c>
      <c r="C43" s="78" t="s">
        <v>144</v>
      </c>
      <c r="D43" s="79">
        <v>0</v>
      </c>
      <c r="E43" s="138" t="s">
        <v>145</v>
      </c>
      <c r="F43" s="78" t="s">
        <v>146</v>
      </c>
      <c r="G43" s="79">
        <v>1923668</v>
      </c>
    </row>
    <row r="44" spans="2:7">
      <c r="B44" s="5" t="s">
        <v>147</v>
      </c>
      <c r="C44" s="78" t="s">
        <v>148</v>
      </c>
      <c r="D44" s="79">
        <v>0</v>
      </c>
      <c r="E44" s="138" t="s">
        <v>149</v>
      </c>
      <c r="F44" s="78" t="s">
        <v>150</v>
      </c>
      <c r="G44" s="79">
        <v>1088222</v>
      </c>
    </row>
    <row r="45" spans="2:7">
      <c r="B45" s="5" t="s">
        <v>151</v>
      </c>
      <c r="C45" s="78" t="s">
        <v>152</v>
      </c>
      <c r="D45" s="79">
        <v>2843300</v>
      </c>
      <c r="E45" s="138" t="s">
        <v>153</v>
      </c>
      <c r="F45" s="78" t="s">
        <v>154</v>
      </c>
      <c r="G45" s="79">
        <v>512136</v>
      </c>
    </row>
    <row r="46" spans="2:7">
      <c r="B46" s="5" t="s">
        <v>155</v>
      </c>
      <c r="C46" s="78" t="s">
        <v>156</v>
      </c>
      <c r="D46" s="79">
        <v>2359602</v>
      </c>
      <c r="E46" s="138" t="s">
        <v>157</v>
      </c>
      <c r="F46" s="78" t="s">
        <v>158</v>
      </c>
      <c r="G46" s="79">
        <v>14414585</v>
      </c>
    </row>
    <row r="47" spans="2:7" ht="16.5" thickBot="1">
      <c r="B47" s="5"/>
      <c r="C47" s="85" t="s">
        <v>159</v>
      </c>
      <c r="D47" s="86">
        <f>SUM(D36:D46)</f>
        <v>84696641</v>
      </c>
      <c r="E47" s="138" t="s">
        <v>160</v>
      </c>
      <c r="F47" s="78" t="s">
        <v>161</v>
      </c>
      <c r="G47" s="84">
        <v>3584678</v>
      </c>
    </row>
    <row r="48" spans="2:7" ht="16.5" thickBot="1">
      <c r="B48" s="5"/>
      <c r="C48" s="92" t="s">
        <v>162</v>
      </c>
      <c r="D48" s="93"/>
      <c r="E48" s="138"/>
      <c r="F48" s="85" t="s">
        <v>163</v>
      </c>
      <c r="G48" s="94">
        <f>+G33+G40+G47</f>
        <v>120754563</v>
      </c>
    </row>
    <row r="49" spans="2:7">
      <c r="B49" s="5" t="s">
        <v>164</v>
      </c>
      <c r="C49" s="95" t="s">
        <v>165</v>
      </c>
      <c r="D49" s="96">
        <v>0</v>
      </c>
      <c r="E49" s="138" t="s">
        <v>166</v>
      </c>
      <c r="F49" s="80" t="s">
        <v>167</v>
      </c>
      <c r="G49" s="81">
        <v>0</v>
      </c>
    </row>
    <row r="50" spans="2:7">
      <c r="B50" s="5" t="s">
        <v>168</v>
      </c>
      <c r="C50" s="78" t="s">
        <v>162</v>
      </c>
      <c r="D50" s="79">
        <v>15795117</v>
      </c>
      <c r="E50" s="138" t="s">
        <v>169</v>
      </c>
      <c r="F50" s="78" t="s">
        <v>170</v>
      </c>
      <c r="G50" s="79">
        <f>45091503-3089</f>
        <v>45088414</v>
      </c>
    </row>
    <row r="51" spans="2:7">
      <c r="B51" s="5" t="s">
        <v>171</v>
      </c>
      <c r="C51" s="78" t="s">
        <v>172</v>
      </c>
      <c r="D51" s="84">
        <v>39423</v>
      </c>
      <c r="E51" s="138" t="s">
        <v>173</v>
      </c>
      <c r="F51" s="78" t="s">
        <v>174</v>
      </c>
      <c r="G51" s="79">
        <v>3350680</v>
      </c>
    </row>
    <row r="52" spans="2:7" ht="16.5" thickBot="1">
      <c r="B52" s="11"/>
      <c r="C52" s="85" t="s">
        <v>175</v>
      </c>
      <c r="D52" s="86">
        <f>SUM(D49:D51)</f>
        <v>15834540</v>
      </c>
      <c r="E52" s="138" t="s">
        <v>176</v>
      </c>
      <c r="F52" s="78" t="s">
        <v>177</v>
      </c>
      <c r="G52" s="79">
        <v>0</v>
      </c>
    </row>
    <row r="53" spans="2:7" ht="16.5" thickBot="1">
      <c r="B53" s="5"/>
      <c r="C53" s="75" t="s">
        <v>178</v>
      </c>
      <c r="D53" s="97">
        <f>D20+D35+D47+D52</f>
        <v>1575049804</v>
      </c>
      <c r="E53" s="138" t="s">
        <v>179</v>
      </c>
      <c r="F53" s="78" t="s">
        <v>180</v>
      </c>
      <c r="G53" s="79">
        <v>6783374</v>
      </c>
    </row>
    <row r="54" spans="2:7">
      <c r="C54" s="98"/>
      <c r="D54" s="99"/>
      <c r="E54" s="138" t="s">
        <v>181</v>
      </c>
      <c r="F54" s="78" t="s">
        <v>182</v>
      </c>
      <c r="G54" s="79">
        <v>0</v>
      </c>
    </row>
    <row r="55" spans="2:7">
      <c r="C55" s="100" t="s">
        <v>183</v>
      </c>
      <c r="D55" s="101"/>
      <c r="E55" s="138" t="s">
        <v>184</v>
      </c>
      <c r="F55" s="78" t="s">
        <v>185</v>
      </c>
      <c r="G55" s="79">
        <v>8645764</v>
      </c>
    </row>
    <row r="56" spans="2:7">
      <c r="B56" s="5" t="s">
        <v>186</v>
      </c>
      <c r="C56" s="102" t="s">
        <v>187</v>
      </c>
      <c r="D56" s="79">
        <v>-4638861</v>
      </c>
      <c r="E56" s="138" t="s">
        <v>188</v>
      </c>
      <c r="F56" s="78" t="s">
        <v>189</v>
      </c>
      <c r="G56" s="84">
        <v>2316953</v>
      </c>
    </row>
    <row r="57" spans="2:7" ht="14.25" customHeight="1" thickBot="1">
      <c r="B57" s="5" t="s">
        <v>190</v>
      </c>
      <c r="C57" s="102" t="s">
        <v>191</v>
      </c>
      <c r="D57" s="79"/>
      <c r="E57" s="138"/>
      <c r="F57" s="85" t="s">
        <v>192</v>
      </c>
      <c r="G57" s="86">
        <f>SUM(G49:G56)</f>
        <v>66185185</v>
      </c>
    </row>
    <row r="58" spans="2:7">
      <c r="B58" s="5" t="s">
        <v>193</v>
      </c>
      <c r="C58" s="102" t="s">
        <v>194</v>
      </c>
      <c r="D58" s="79"/>
      <c r="E58" s="138" t="s">
        <v>195</v>
      </c>
      <c r="F58" s="80" t="s">
        <v>196</v>
      </c>
      <c r="G58" s="81">
        <v>0</v>
      </c>
    </row>
    <row r="59" spans="2:7">
      <c r="B59" s="5" t="s">
        <v>197</v>
      </c>
      <c r="C59" s="78" t="s">
        <v>198</v>
      </c>
      <c r="D59" s="84">
        <v>-158956</v>
      </c>
      <c r="E59" s="138" t="s">
        <v>199</v>
      </c>
      <c r="F59" s="78" t="s">
        <v>200</v>
      </c>
      <c r="G59" s="79">
        <v>13739608</v>
      </c>
    </row>
    <row r="60" spans="2:7" ht="16.5" thickBot="1">
      <c r="B60" s="5"/>
      <c r="C60" s="85" t="s">
        <v>201</v>
      </c>
      <c r="D60" s="86">
        <f>SUM(D56:D59)</f>
        <v>-4797817</v>
      </c>
      <c r="E60" s="138" t="s">
        <v>202</v>
      </c>
      <c r="F60" s="78" t="s">
        <v>203</v>
      </c>
      <c r="G60" s="79">
        <v>4175715</v>
      </c>
    </row>
    <row r="61" spans="2:7" ht="16.5" thickBot="1">
      <c r="B61" s="15"/>
      <c r="C61" s="72" t="s">
        <v>204</v>
      </c>
      <c r="D61" s="103">
        <f>D53+D60</f>
        <v>1570251987</v>
      </c>
      <c r="E61" s="138" t="s">
        <v>205</v>
      </c>
      <c r="F61" s="78" t="s">
        <v>206</v>
      </c>
      <c r="G61" s="79">
        <v>1381752</v>
      </c>
    </row>
    <row r="62" spans="2:7">
      <c r="B62" s="16"/>
      <c r="C62" s="116"/>
      <c r="D62" s="116"/>
      <c r="E62" s="138" t="s">
        <v>207</v>
      </c>
      <c r="F62" s="78" t="s">
        <v>208</v>
      </c>
      <c r="G62" s="79">
        <v>0</v>
      </c>
    </row>
    <row r="63" spans="2:7">
      <c r="B63" s="17"/>
      <c r="C63" s="222" t="s">
        <v>8</v>
      </c>
      <c r="D63" s="222"/>
      <c r="E63" s="138" t="s">
        <v>209</v>
      </c>
      <c r="F63" s="78" t="s">
        <v>210</v>
      </c>
      <c r="G63" s="79">
        <v>6281094</v>
      </c>
    </row>
    <row r="64" spans="2:7">
      <c r="B64" s="18" t="s">
        <v>211</v>
      </c>
      <c r="C64" s="223" t="s">
        <v>212</v>
      </c>
      <c r="D64" s="223">
        <f>[29]Amortizaciones!D6</f>
        <v>7882213</v>
      </c>
      <c r="E64" s="138" t="s">
        <v>213</v>
      </c>
      <c r="F64" s="78" t="s">
        <v>214</v>
      </c>
      <c r="G64" s="79">
        <v>387099</v>
      </c>
    </row>
    <row r="65" spans="2:7">
      <c r="B65" s="18" t="s">
        <v>215</v>
      </c>
      <c r="C65" s="223" t="s">
        <v>216</v>
      </c>
      <c r="D65" s="223">
        <f>[29]Amortizaciones!D7</f>
        <v>0</v>
      </c>
      <c r="E65" s="138" t="s">
        <v>217</v>
      </c>
      <c r="F65" s="78" t="s">
        <v>218</v>
      </c>
      <c r="G65" s="79">
        <v>732574</v>
      </c>
    </row>
    <row r="66" spans="2:7">
      <c r="B66" s="18" t="s">
        <v>219</v>
      </c>
      <c r="C66" s="223" t="s">
        <v>220</v>
      </c>
      <c r="D66" s="223">
        <f>[29]Amortizaciones!D8</f>
        <v>8277390</v>
      </c>
      <c r="E66" s="138" t="s">
        <v>221</v>
      </c>
      <c r="F66" s="78" t="s">
        <v>222</v>
      </c>
      <c r="G66" s="79">
        <v>6984088</v>
      </c>
    </row>
    <row r="67" spans="2:7">
      <c r="B67" s="18" t="s">
        <v>223</v>
      </c>
      <c r="C67" s="223" t="s">
        <v>224</v>
      </c>
      <c r="D67" s="223">
        <f>[29]Amortizaciones!D9</f>
        <v>0</v>
      </c>
      <c r="E67" s="138" t="s">
        <v>225</v>
      </c>
      <c r="F67" s="78" t="s">
        <v>226</v>
      </c>
      <c r="G67" s="79">
        <v>778999</v>
      </c>
    </row>
    <row r="68" spans="2:7">
      <c r="B68" s="18" t="s">
        <v>227</v>
      </c>
      <c r="C68" s="223" t="s">
        <v>228</v>
      </c>
      <c r="D68" s="223">
        <f>[29]Amortizaciones!D10</f>
        <v>0</v>
      </c>
      <c r="E68" s="138" t="s">
        <v>229</v>
      </c>
      <c r="F68" s="78" t="s">
        <v>230</v>
      </c>
      <c r="G68" s="79">
        <v>0</v>
      </c>
    </row>
    <row r="69" spans="2:7">
      <c r="B69" s="18" t="s">
        <v>231</v>
      </c>
      <c r="C69" s="223" t="s">
        <v>232</v>
      </c>
      <c r="D69" s="223">
        <f>[29]Amortizaciones!D11</f>
        <v>0</v>
      </c>
      <c r="E69" s="138" t="s">
        <v>233</v>
      </c>
      <c r="F69" s="78" t="s">
        <v>234</v>
      </c>
      <c r="G69" s="79">
        <v>2084906</v>
      </c>
    </row>
    <row r="70" spans="2:7">
      <c r="B70" s="18" t="s">
        <v>235</v>
      </c>
      <c r="C70" s="223" t="s">
        <v>236</v>
      </c>
      <c r="D70" s="223">
        <f>[29]Amortizaciones!D12</f>
        <v>1946023</v>
      </c>
      <c r="E70" s="138" t="s">
        <v>237</v>
      </c>
      <c r="F70" s="78" t="s">
        <v>238</v>
      </c>
      <c r="G70" s="79">
        <v>542791</v>
      </c>
    </row>
    <row r="71" spans="2:7">
      <c r="B71" s="18" t="s">
        <v>239</v>
      </c>
      <c r="C71" s="223" t="s">
        <v>240</v>
      </c>
      <c r="D71" s="223">
        <f>[29]Amortizaciones!D13</f>
        <v>2011221</v>
      </c>
      <c r="E71" s="138" t="s">
        <v>241</v>
      </c>
      <c r="F71" s="78" t="s">
        <v>242</v>
      </c>
      <c r="G71" s="79">
        <v>0</v>
      </c>
    </row>
    <row r="72" spans="2:7">
      <c r="B72" s="18" t="s">
        <v>243</v>
      </c>
      <c r="C72" s="223" t="s">
        <v>244</v>
      </c>
      <c r="D72" s="223">
        <f>[29]Amortizaciones!D14</f>
        <v>1746551</v>
      </c>
      <c r="E72" s="138" t="s">
        <v>245</v>
      </c>
      <c r="F72" s="78" t="s">
        <v>246</v>
      </c>
      <c r="G72" s="79">
        <v>3509841</v>
      </c>
    </row>
    <row r="73" spans="2:7">
      <c r="B73" s="18" t="s">
        <v>247</v>
      </c>
      <c r="C73" s="223" t="s">
        <v>248</v>
      </c>
      <c r="D73" s="223">
        <f>[29]Amortizaciones!D15</f>
        <v>0</v>
      </c>
      <c r="E73" s="138" t="s">
        <v>249</v>
      </c>
      <c r="F73" s="78" t="s">
        <v>250</v>
      </c>
      <c r="G73" s="79">
        <v>0</v>
      </c>
    </row>
    <row r="74" spans="2:7">
      <c r="B74" s="18" t="s">
        <v>251</v>
      </c>
      <c r="C74" s="223" t="s">
        <v>252</v>
      </c>
      <c r="D74" s="223">
        <f>[29]Amortizaciones!D16</f>
        <v>0</v>
      </c>
      <c r="E74" s="138" t="s">
        <v>253</v>
      </c>
      <c r="F74" s="78" t="s">
        <v>254</v>
      </c>
      <c r="G74" s="79">
        <v>338144</v>
      </c>
    </row>
    <row r="75" spans="2:7">
      <c r="B75" s="18" t="s">
        <v>255</v>
      </c>
      <c r="C75" s="223" t="s">
        <v>256</v>
      </c>
      <c r="D75" s="223">
        <f>[29]Amortizaciones!D17</f>
        <v>0</v>
      </c>
      <c r="E75" s="138" t="s">
        <v>257</v>
      </c>
      <c r="F75" s="78" t="s">
        <v>258</v>
      </c>
      <c r="G75" s="79">
        <v>4521973</v>
      </c>
    </row>
    <row r="76" spans="2:7">
      <c r="B76" s="18" t="s">
        <v>259</v>
      </c>
      <c r="C76" s="223" t="s">
        <v>260</v>
      </c>
      <c r="D76" s="223">
        <f>[29]Amortizaciones!D18</f>
        <v>0</v>
      </c>
      <c r="E76" s="138" t="s">
        <v>261</v>
      </c>
      <c r="F76" s="78" t="s">
        <v>262</v>
      </c>
      <c r="G76" s="79">
        <v>1637320</v>
      </c>
    </row>
    <row r="77" spans="2:7">
      <c r="B77" s="18" t="s">
        <v>263</v>
      </c>
      <c r="C77" s="223" t="s">
        <v>264</v>
      </c>
      <c r="D77" s="223">
        <f>SUM(D64:D76)</f>
        <v>21863398</v>
      </c>
      <c r="E77" s="138" t="s">
        <v>265</v>
      </c>
      <c r="F77" s="78" t="s">
        <v>266</v>
      </c>
      <c r="G77" s="79">
        <f>377343+5051783+37505161</f>
        <v>42934287</v>
      </c>
    </row>
    <row r="78" spans="2:7">
      <c r="B78" s="18"/>
      <c r="C78" s="223"/>
      <c r="D78" s="223"/>
      <c r="E78" s="138" t="s">
        <v>267</v>
      </c>
      <c r="F78" s="78" t="s">
        <v>268</v>
      </c>
      <c r="G78" s="84">
        <v>2798687</v>
      </c>
    </row>
    <row r="79" spans="2:7" ht="16.5" thickBot="1">
      <c r="B79" s="18"/>
      <c r="C79" s="222" t="s">
        <v>269</v>
      </c>
      <c r="D79" s="224"/>
      <c r="E79" s="138"/>
      <c r="F79" s="85" t="s">
        <v>270</v>
      </c>
      <c r="G79" s="86">
        <f>SUM(G58:G78)</f>
        <v>92828878</v>
      </c>
    </row>
    <row r="80" spans="2:7">
      <c r="B80" s="18" t="s">
        <v>271</v>
      </c>
      <c r="C80" s="223" t="s">
        <v>236</v>
      </c>
      <c r="D80" s="223">
        <f>[29]Amortizaciones!D22</f>
        <v>461372</v>
      </c>
      <c r="E80" s="138" t="s">
        <v>272</v>
      </c>
      <c r="F80" s="80" t="s">
        <v>273</v>
      </c>
      <c r="G80" s="81">
        <v>2486263</v>
      </c>
    </row>
    <row r="81" spans="2:7">
      <c r="B81" s="18" t="s">
        <v>274</v>
      </c>
      <c r="C81" s="223" t="s">
        <v>240</v>
      </c>
      <c r="D81" s="223">
        <f>[29]Amortizaciones!D23</f>
        <v>0</v>
      </c>
      <c r="E81" s="138" t="s">
        <v>275</v>
      </c>
      <c r="F81" s="78" t="s">
        <v>276</v>
      </c>
      <c r="G81" s="79">
        <v>16151</v>
      </c>
    </row>
    <row r="82" spans="2:7">
      <c r="B82" s="18" t="s">
        <v>277</v>
      </c>
      <c r="C82" s="223" t="s">
        <v>244</v>
      </c>
      <c r="D82" s="223">
        <f>[29]Amortizaciones!D24</f>
        <v>271522</v>
      </c>
      <c r="E82" s="138" t="s">
        <v>278</v>
      </c>
      <c r="F82" s="78" t="s">
        <v>279</v>
      </c>
      <c r="G82" s="79">
        <v>3115647</v>
      </c>
    </row>
    <row r="83" spans="2:7">
      <c r="B83" s="18" t="s">
        <v>280</v>
      </c>
      <c r="C83" s="223" t="s">
        <v>248</v>
      </c>
      <c r="D83" s="223">
        <f>[29]Amortizaciones!D25</f>
        <v>0</v>
      </c>
      <c r="E83" s="138" t="s">
        <v>281</v>
      </c>
      <c r="F83" s="78" t="s">
        <v>282</v>
      </c>
      <c r="G83" s="79">
        <v>1344546</v>
      </c>
    </row>
    <row r="84" spans="2:7">
      <c r="B84" s="18" t="s">
        <v>283</v>
      </c>
      <c r="C84" s="223" t="s">
        <v>284</v>
      </c>
      <c r="D84" s="223">
        <v>0</v>
      </c>
      <c r="E84" s="138" t="s">
        <v>285</v>
      </c>
      <c r="F84" s="78" t="s">
        <v>286</v>
      </c>
      <c r="G84" s="79">
        <v>6917971</v>
      </c>
    </row>
    <row r="85" spans="2:7">
      <c r="B85" s="18" t="s">
        <v>287</v>
      </c>
      <c r="C85" s="223" t="s">
        <v>288</v>
      </c>
      <c r="D85" s="223">
        <f>[29]Amortizaciones!D27</f>
        <v>0</v>
      </c>
      <c r="E85" s="138" t="s">
        <v>289</v>
      </c>
      <c r="F85" s="78" t="s">
        <v>290</v>
      </c>
      <c r="G85" s="79">
        <v>7632089</v>
      </c>
    </row>
    <row r="86" spans="2:7" ht="13.5" customHeight="1">
      <c r="B86" s="18" t="s">
        <v>291</v>
      </c>
      <c r="C86" s="223" t="s">
        <v>292</v>
      </c>
      <c r="D86" s="223">
        <f>[29]Amortizaciones!D28</f>
        <v>0</v>
      </c>
      <c r="E86" s="138" t="s">
        <v>293</v>
      </c>
      <c r="F86" s="78" t="s">
        <v>294</v>
      </c>
      <c r="G86" s="79">
        <v>918202</v>
      </c>
    </row>
    <row r="87" spans="2:7" ht="13.5" customHeight="1">
      <c r="B87" s="18" t="s">
        <v>295</v>
      </c>
      <c r="C87" s="223" t="s">
        <v>296</v>
      </c>
      <c r="D87" s="223">
        <f>[29]Amortizaciones!D29</f>
        <v>0</v>
      </c>
      <c r="E87" s="138" t="s">
        <v>297</v>
      </c>
      <c r="F87" s="78" t="s">
        <v>298</v>
      </c>
      <c r="G87" s="79">
        <v>800032</v>
      </c>
    </row>
    <row r="88" spans="2:7" ht="13.5" customHeight="1">
      <c r="B88" s="18" t="s">
        <v>299</v>
      </c>
      <c r="C88" s="223" t="s">
        <v>300</v>
      </c>
      <c r="D88" s="223">
        <f>[29]Amortizaciones!D30</f>
        <v>3158612</v>
      </c>
      <c r="E88" s="138" t="s">
        <v>301</v>
      </c>
      <c r="F88" s="78" t="s">
        <v>302</v>
      </c>
      <c r="G88" s="79">
        <v>2187848</v>
      </c>
    </row>
    <row r="89" spans="2:7">
      <c r="B89" s="18" t="s">
        <v>303</v>
      </c>
      <c r="C89" s="223" t="s">
        <v>212</v>
      </c>
      <c r="D89" s="223">
        <f>[29]Amortizaciones!D31</f>
        <v>459442</v>
      </c>
      <c r="E89" s="138" t="s">
        <v>304</v>
      </c>
      <c r="F89" s="78" t="s">
        <v>305</v>
      </c>
      <c r="G89" s="79">
        <v>3050079</v>
      </c>
    </row>
    <row r="90" spans="2:7" ht="14.25" customHeight="1">
      <c r="B90" s="18" t="s">
        <v>306</v>
      </c>
      <c r="C90" s="223" t="s">
        <v>228</v>
      </c>
      <c r="D90" s="223">
        <f>[29]Amortizaciones!D32</f>
        <v>0</v>
      </c>
      <c r="E90" s="138" t="s">
        <v>307</v>
      </c>
      <c r="F90" s="78" t="s">
        <v>308</v>
      </c>
      <c r="G90" s="79">
        <v>7202180</v>
      </c>
    </row>
    <row r="91" spans="2:7" ht="14.25" customHeight="1">
      <c r="B91" s="18" t="s">
        <v>309</v>
      </c>
      <c r="C91" s="223" t="s">
        <v>310</v>
      </c>
      <c r="D91" s="223">
        <f>SUM(D80:D90)</f>
        <v>4350948</v>
      </c>
      <c r="E91" s="225" t="s">
        <v>311</v>
      </c>
      <c r="F91" s="78" t="s">
        <v>312</v>
      </c>
      <c r="G91" s="79">
        <v>2343772</v>
      </c>
    </row>
    <row r="92" spans="2:7" ht="14.25" customHeight="1">
      <c r="B92" s="18"/>
      <c r="C92" s="226" t="s">
        <v>313</v>
      </c>
      <c r="D92" s="223">
        <f>D77+D91</f>
        <v>26214346</v>
      </c>
      <c r="E92" s="225" t="s">
        <v>314</v>
      </c>
      <c r="F92" s="78" t="s">
        <v>315</v>
      </c>
      <c r="G92" s="79">
        <v>0</v>
      </c>
    </row>
    <row r="93" spans="2:7">
      <c r="C93" s="116"/>
      <c r="D93" s="116"/>
      <c r="E93" s="225" t="s">
        <v>316</v>
      </c>
      <c r="F93" s="78" t="s">
        <v>317</v>
      </c>
      <c r="G93" s="79">
        <v>550448</v>
      </c>
    </row>
    <row r="94" spans="2:7">
      <c r="C94" s="116"/>
      <c r="D94" s="116"/>
      <c r="E94" s="225" t="s">
        <v>318</v>
      </c>
      <c r="F94" s="78" t="s">
        <v>319</v>
      </c>
      <c r="G94" s="84">
        <v>1547463</v>
      </c>
    </row>
    <row r="95" spans="2:7" ht="13.5" customHeight="1" thickBot="1">
      <c r="C95" s="116"/>
      <c r="D95" s="116"/>
      <c r="E95" s="138"/>
      <c r="F95" s="85" t="s">
        <v>320</v>
      </c>
      <c r="G95" s="86">
        <f>SUM(G80:G94)</f>
        <v>40112691</v>
      </c>
    </row>
    <row r="96" spans="2:7">
      <c r="C96" s="116"/>
      <c r="D96" s="116"/>
      <c r="E96" s="225" t="s">
        <v>321</v>
      </c>
      <c r="F96" s="80" t="s">
        <v>322</v>
      </c>
      <c r="G96" s="81">
        <v>1517165</v>
      </c>
    </row>
    <row r="97" spans="2:7">
      <c r="C97" s="116"/>
      <c r="D97" s="116"/>
      <c r="E97" s="225" t="s">
        <v>323</v>
      </c>
      <c r="F97" s="78" t="s">
        <v>324</v>
      </c>
      <c r="G97" s="79">
        <v>4618491</v>
      </c>
    </row>
    <row r="98" spans="2:7">
      <c r="C98" s="116"/>
      <c r="D98" s="116"/>
      <c r="E98" s="225" t="s">
        <v>325</v>
      </c>
      <c r="F98" s="78" t="s">
        <v>326</v>
      </c>
      <c r="G98" s="79">
        <f>1677667</f>
        <v>1677667</v>
      </c>
    </row>
    <row r="99" spans="2:7">
      <c r="C99" s="116"/>
      <c r="D99" s="116"/>
      <c r="E99" s="225" t="s">
        <v>327</v>
      </c>
      <c r="F99" s="78" t="s">
        <v>328</v>
      </c>
      <c r="G99" s="79">
        <v>12064226</v>
      </c>
    </row>
    <row r="100" spans="2:7">
      <c r="C100" s="116"/>
      <c r="D100" s="116"/>
      <c r="E100" s="225" t="s">
        <v>329</v>
      </c>
      <c r="F100" s="78" t="s">
        <v>330</v>
      </c>
      <c r="G100" s="84">
        <v>589634</v>
      </c>
    </row>
    <row r="101" spans="2:7" ht="12.75" customHeight="1" thickBot="1">
      <c r="C101" s="116"/>
      <c r="D101" s="116"/>
      <c r="E101" s="138"/>
      <c r="F101" s="85" t="s">
        <v>331</v>
      </c>
      <c r="G101" s="86">
        <f>SUM(G96:G100)</f>
        <v>20467183</v>
      </c>
    </row>
    <row r="102" spans="2:7" ht="12.75" customHeight="1" thickBot="1">
      <c r="C102" s="116"/>
      <c r="D102" s="116"/>
      <c r="E102" s="225"/>
      <c r="F102" s="110" t="s">
        <v>332</v>
      </c>
      <c r="G102" s="111">
        <f>[29]Amortizaciones!D19</f>
        <v>21863398</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1418143900.78</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152108086.22000003</v>
      </c>
    </row>
    <row r="110" spans="2:7" ht="6.75" customHeight="1" thickBot="1">
      <c r="B110" s="5"/>
      <c r="C110" s="227"/>
      <c r="D110" s="227"/>
      <c r="E110" s="138"/>
      <c r="F110" s="116"/>
      <c r="G110" s="116"/>
    </row>
    <row r="111" spans="2:7" ht="15" customHeight="1" thickBot="1">
      <c r="C111" s="72" t="s">
        <v>269</v>
      </c>
      <c r="D111" s="118">
        <f>+[29]E.S.P.!D6</f>
        <v>2021</v>
      </c>
      <c r="E111" s="225"/>
      <c r="F111" s="72" t="s">
        <v>340</v>
      </c>
      <c r="G111" s="118">
        <f>+[29]E.S.P.!D6</f>
        <v>2021</v>
      </c>
    </row>
    <row r="112" spans="2:7" ht="13.7" customHeight="1">
      <c r="B112" s="5" t="s">
        <v>341</v>
      </c>
      <c r="C112" s="119" t="s">
        <v>342</v>
      </c>
      <c r="D112" s="120">
        <v>4921300</v>
      </c>
      <c r="E112" s="138" t="s">
        <v>343</v>
      </c>
      <c r="F112" s="119" t="s">
        <v>308</v>
      </c>
      <c r="G112" s="120">
        <v>98361</v>
      </c>
    </row>
    <row r="113" spans="2:7" ht="13.7" customHeight="1">
      <c r="B113" s="5" t="s">
        <v>344</v>
      </c>
      <c r="C113" s="121" t="s">
        <v>345</v>
      </c>
      <c r="D113" s="122">
        <v>51363028</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240314</v>
      </c>
      <c r="E115" s="138" t="s">
        <v>353</v>
      </c>
      <c r="F115" s="121" t="s">
        <v>354</v>
      </c>
      <c r="G115" s="122">
        <v>104798</v>
      </c>
    </row>
    <row r="116" spans="2:7" ht="13.7" customHeight="1">
      <c r="B116" s="5" t="s">
        <v>355</v>
      </c>
      <c r="C116" s="121" t="s">
        <v>356</v>
      </c>
      <c r="D116" s="122">
        <v>2547159</v>
      </c>
      <c r="E116" s="138" t="s">
        <v>357</v>
      </c>
      <c r="F116" s="121" t="s">
        <v>358</v>
      </c>
      <c r="G116" s="122">
        <v>0</v>
      </c>
    </row>
    <row r="117" spans="2:7" ht="13.7" customHeight="1">
      <c r="B117" s="5" t="s">
        <v>359</v>
      </c>
      <c r="C117" s="121" t="s">
        <v>360</v>
      </c>
      <c r="D117" s="122">
        <v>0</v>
      </c>
      <c r="E117" s="138" t="s">
        <v>361</v>
      </c>
      <c r="F117" s="121" t="s">
        <v>362</v>
      </c>
      <c r="G117" s="122">
        <v>1304970</v>
      </c>
    </row>
    <row r="118" spans="2:7" ht="13.7" customHeight="1">
      <c r="B118" s="5" t="s">
        <v>363</v>
      </c>
      <c r="C118" s="121" t="s">
        <v>364</v>
      </c>
      <c r="D118" s="122">
        <v>0</v>
      </c>
      <c r="E118" s="138" t="s">
        <v>365</v>
      </c>
      <c r="F118" s="121" t="s">
        <v>366</v>
      </c>
      <c r="G118" s="122">
        <v>0</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2063322</v>
      </c>
      <c r="E121" s="138" t="s">
        <v>377</v>
      </c>
      <c r="F121" s="121" t="s">
        <v>378</v>
      </c>
      <c r="G121" s="122">
        <v>285286</v>
      </c>
    </row>
    <row r="122" spans="2:7" ht="13.7" customHeight="1" thickBot="1">
      <c r="B122" s="5"/>
      <c r="C122" s="85" t="s">
        <v>379</v>
      </c>
      <c r="D122" s="94">
        <f>SUM(D112:D121)</f>
        <v>61135123</v>
      </c>
      <c r="E122" s="138" t="s">
        <v>380</v>
      </c>
      <c r="F122" s="78" t="s">
        <v>381</v>
      </c>
      <c r="G122" s="79">
        <v>237616</v>
      </c>
    </row>
    <row r="123" spans="2:7" ht="13.7" customHeight="1" thickBot="1">
      <c r="B123" s="5" t="s">
        <v>382</v>
      </c>
      <c r="C123" s="123" t="s">
        <v>308</v>
      </c>
      <c r="D123" s="120">
        <v>173628</v>
      </c>
      <c r="E123" s="225"/>
      <c r="F123" s="85" t="s">
        <v>383</v>
      </c>
      <c r="G123" s="94">
        <f>SUM(G112:G122)</f>
        <v>2031031</v>
      </c>
    </row>
    <row r="124" spans="2:7" ht="13.7" customHeight="1">
      <c r="B124" s="5" t="s">
        <v>384</v>
      </c>
      <c r="C124" s="121" t="s">
        <v>312</v>
      </c>
      <c r="D124" s="122">
        <v>0</v>
      </c>
      <c r="E124" s="138" t="s">
        <v>385</v>
      </c>
      <c r="F124" s="121" t="s">
        <v>386</v>
      </c>
      <c r="G124" s="122">
        <v>1291470</v>
      </c>
    </row>
    <row r="125" spans="2:7" ht="13.7" customHeight="1">
      <c r="B125" s="5" t="s">
        <v>387</v>
      </c>
      <c r="C125" s="78" t="s">
        <v>388</v>
      </c>
      <c r="D125" s="122">
        <v>6543</v>
      </c>
      <c r="E125" s="138" t="s">
        <v>389</v>
      </c>
      <c r="F125" s="121" t="s">
        <v>390</v>
      </c>
      <c r="G125" s="122">
        <v>0</v>
      </c>
    </row>
    <row r="126" spans="2:7" ht="13.7" customHeight="1" thickBot="1">
      <c r="B126" s="5"/>
      <c r="C126" s="85" t="s">
        <v>391</v>
      </c>
      <c r="D126" s="94">
        <f>SUM(D123:D125)</f>
        <v>180171</v>
      </c>
      <c r="E126" s="138" t="s">
        <v>392</v>
      </c>
      <c r="F126" s="121" t="s">
        <v>393</v>
      </c>
      <c r="G126" s="122">
        <v>0</v>
      </c>
    </row>
    <row r="127" spans="2:7" ht="13.7" customHeight="1">
      <c r="B127" s="5" t="s">
        <v>394</v>
      </c>
      <c r="C127" s="119" t="s">
        <v>273</v>
      </c>
      <c r="D127" s="120">
        <v>125624</v>
      </c>
      <c r="E127" s="138" t="s">
        <v>395</v>
      </c>
      <c r="F127" s="121" t="s">
        <v>396</v>
      </c>
      <c r="G127" s="122">
        <v>0</v>
      </c>
    </row>
    <row r="128" spans="2:7" ht="13.7" customHeight="1">
      <c r="B128" s="5" t="s">
        <v>397</v>
      </c>
      <c r="C128" s="121" t="s">
        <v>398</v>
      </c>
      <c r="D128" s="122">
        <v>1723232</v>
      </c>
      <c r="E128" s="138" t="s">
        <v>399</v>
      </c>
      <c r="F128" s="121" t="s">
        <v>400</v>
      </c>
      <c r="G128" s="122">
        <v>0</v>
      </c>
    </row>
    <row r="129" spans="2:7" ht="13.7" customHeight="1">
      <c r="B129" s="5" t="s">
        <v>401</v>
      </c>
      <c r="C129" s="121" t="s">
        <v>276</v>
      </c>
      <c r="D129" s="122">
        <v>239742</v>
      </c>
      <c r="E129" s="138" t="s">
        <v>402</v>
      </c>
      <c r="F129" s="121" t="s">
        <v>403</v>
      </c>
      <c r="G129" s="122">
        <v>849009</v>
      </c>
    </row>
    <row r="130" spans="2:7" ht="13.7" customHeight="1">
      <c r="B130" s="5" t="s">
        <v>404</v>
      </c>
      <c r="C130" s="121" t="s">
        <v>282</v>
      </c>
      <c r="D130" s="122">
        <v>214079</v>
      </c>
      <c r="E130" s="138" t="s">
        <v>405</v>
      </c>
      <c r="F130" s="121" t="s">
        <v>406</v>
      </c>
      <c r="G130" s="122">
        <v>0</v>
      </c>
    </row>
    <row r="131" spans="2:7" ht="13.7" customHeight="1">
      <c r="B131" s="5" t="s">
        <v>407</v>
      </c>
      <c r="C131" s="121" t="s">
        <v>286</v>
      </c>
      <c r="D131" s="122">
        <v>276084</v>
      </c>
      <c r="E131" s="138" t="s">
        <v>408</v>
      </c>
      <c r="F131" s="121" t="s">
        <v>409</v>
      </c>
      <c r="G131" s="122">
        <v>1324424</v>
      </c>
    </row>
    <row r="132" spans="2:7" ht="13.7" customHeight="1">
      <c r="B132" s="5" t="s">
        <v>410</v>
      </c>
      <c r="C132" s="121" t="s">
        <v>290</v>
      </c>
      <c r="D132" s="122">
        <v>302796</v>
      </c>
      <c r="E132" s="138" t="s">
        <v>411</v>
      </c>
      <c r="F132" s="121" t="s">
        <v>412</v>
      </c>
      <c r="G132" s="122">
        <v>0</v>
      </c>
    </row>
    <row r="133" spans="2:7" ht="13.7" customHeight="1">
      <c r="B133" s="5" t="s">
        <v>413</v>
      </c>
      <c r="C133" s="121" t="s">
        <v>294</v>
      </c>
      <c r="D133" s="122">
        <v>121251</v>
      </c>
      <c r="E133" s="138" t="s">
        <v>414</v>
      </c>
      <c r="F133" s="121" t="s">
        <v>415</v>
      </c>
      <c r="G133" s="122">
        <v>0</v>
      </c>
    </row>
    <row r="134" spans="2:7" ht="13.7" customHeight="1">
      <c r="B134" s="5" t="s">
        <v>416</v>
      </c>
      <c r="C134" s="121" t="s">
        <v>417</v>
      </c>
      <c r="D134" s="122">
        <v>2744851</v>
      </c>
      <c r="E134" s="138" t="s">
        <v>418</v>
      </c>
      <c r="F134" s="121" t="s">
        <v>419</v>
      </c>
      <c r="G134" s="122">
        <v>0</v>
      </c>
    </row>
    <row r="135" spans="2:7" ht="13.7" customHeight="1">
      <c r="B135" s="5" t="s">
        <v>420</v>
      </c>
      <c r="C135" s="121" t="s">
        <v>421</v>
      </c>
      <c r="D135" s="122">
        <v>5416411</v>
      </c>
      <c r="E135" s="138" t="s">
        <v>422</v>
      </c>
      <c r="F135" s="121" t="s">
        <v>423</v>
      </c>
      <c r="G135" s="122">
        <v>0</v>
      </c>
    </row>
    <row r="136" spans="2:7" ht="13.7" customHeight="1">
      <c r="B136" s="5" t="s">
        <v>424</v>
      </c>
      <c r="C136" s="121" t="s">
        <v>317</v>
      </c>
      <c r="D136" s="122">
        <v>8017334</v>
      </c>
      <c r="E136" s="138" t="s">
        <v>425</v>
      </c>
      <c r="F136" s="121" t="s">
        <v>426</v>
      </c>
      <c r="G136" s="122">
        <v>0</v>
      </c>
    </row>
    <row r="137" spans="2:7" ht="13.7" customHeight="1">
      <c r="B137" s="5" t="s">
        <v>427</v>
      </c>
      <c r="C137" s="78" t="s">
        <v>319</v>
      </c>
      <c r="D137" s="124">
        <f>661283-6543-14298</f>
        <v>640442</v>
      </c>
      <c r="E137" s="138" t="s">
        <v>428</v>
      </c>
      <c r="F137" s="121" t="s">
        <v>429</v>
      </c>
      <c r="G137" s="122">
        <f>18791786-336199-866845</f>
        <v>17588742</v>
      </c>
    </row>
    <row r="138" spans="2:7" ht="13.7" customHeight="1" thickBot="1">
      <c r="B138" s="5"/>
      <c r="C138" s="85" t="s">
        <v>320</v>
      </c>
      <c r="D138" s="94">
        <f>SUM(D127:D137)</f>
        <v>19821846</v>
      </c>
      <c r="E138" s="138" t="s">
        <v>430</v>
      </c>
      <c r="F138" s="78" t="s">
        <v>431</v>
      </c>
      <c r="G138" s="79">
        <f>151872-14286+1</f>
        <v>137587</v>
      </c>
    </row>
    <row r="139" spans="2:7" ht="13.7" customHeight="1" thickBot="1">
      <c r="B139" s="5" t="s">
        <v>432</v>
      </c>
      <c r="C139" s="119" t="s">
        <v>326</v>
      </c>
      <c r="D139" s="120">
        <v>0</v>
      </c>
      <c r="E139" s="228"/>
      <c r="F139" s="85" t="s">
        <v>433</v>
      </c>
      <c r="G139" s="94">
        <f>SUM(G124:G138)</f>
        <v>21191232</v>
      </c>
    </row>
    <row r="140" spans="2:7" ht="13.7" customHeight="1" thickBot="1">
      <c r="B140" s="5" t="s">
        <v>434</v>
      </c>
      <c r="C140" s="121" t="s">
        <v>328</v>
      </c>
      <c r="D140" s="122">
        <v>1235042</v>
      </c>
      <c r="E140" s="228"/>
      <c r="F140" s="110" t="s">
        <v>435</v>
      </c>
      <c r="G140" s="126">
        <f>G123-G139</f>
        <v>-19160201</v>
      </c>
    </row>
    <row r="141" spans="2:7" ht="13.7" customHeight="1">
      <c r="B141" s="5" t="s">
        <v>436</v>
      </c>
      <c r="C141" s="78" t="s">
        <v>330</v>
      </c>
      <c r="D141" s="124">
        <v>38018</v>
      </c>
      <c r="E141" s="229"/>
      <c r="F141" s="116"/>
      <c r="G141" s="116"/>
    </row>
    <row r="142" spans="2:7" ht="13.7" customHeight="1" thickBot="1">
      <c r="B142" s="5"/>
      <c r="C142" s="85" t="s">
        <v>331</v>
      </c>
      <c r="D142" s="94">
        <f>SUM(D139:D141)</f>
        <v>1273060</v>
      </c>
      <c r="E142" s="229"/>
      <c r="F142" s="116"/>
      <c r="G142" s="116"/>
    </row>
    <row r="143" spans="2:7" ht="13.5" customHeight="1" thickBot="1">
      <c r="B143" s="5"/>
      <c r="C143" s="110" t="s">
        <v>332</v>
      </c>
      <c r="D143" s="126">
        <f>[29]Amortizaciones!D33</f>
        <v>4350948</v>
      </c>
      <c r="E143" s="138"/>
      <c r="F143" s="72" t="s">
        <v>437</v>
      </c>
      <c r="G143" s="118">
        <f>+[29]E.S.P.!D6</f>
        <v>2021</v>
      </c>
    </row>
    <row r="144" spans="2:7" ht="13.7" customHeight="1">
      <c r="B144" s="5" t="s">
        <v>438</v>
      </c>
      <c r="C144" s="119" t="s">
        <v>439</v>
      </c>
      <c r="D144" s="120">
        <f>330358+5841</f>
        <v>336199</v>
      </c>
      <c r="E144" s="138" t="s">
        <v>440</v>
      </c>
      <c r="F144" s="119" t="s">
        <v>441</v>
      </c>
      <c r="G144" s="120">
        <v>1985004</v>
      </c>
    </row>
    <row r="145" spans="2:7" ht="13.7" customHeight="1">
      <c r="B145" s="5" t="s">
        <v>442</v>
      </c>
      <c r="C145" s="121" t="s">
        <v>443</v>
      </c>
      <c r="D145" s="122">
        <f>419823+447022</f>
        <v>866845</v>
      </c>
      <c r="E145" s="138" t="s">
        <v>444</v>
      </c>
      <c r="F145" s="121" t="s">
        <v>445</v>
      </c>
      <c r="G145" s="122">
        <v>3802390</v>
      </c>
    </row>
    <row r="146" spans="2:7" ht="13.7" customHeight="1">
      <c r="B146" s="5" t="s">
        <v>446</v>
      </c>
      <c r="C146" s="128" t="s">
        <v>447</v>
      </c>
      <c r="D146" s="122">
        <v>0</v>
      </c>
      <c r="E146" s="138" t="s">
        <v>448</v>
      </c>
      <c r="F146" s="121" t="s">
        <v>449</v>
      </c>
      <c r="G146" s="122">
        <v>96872</v>
      </c>
    </row>
    <row r="147" spans="2:7" ht="13.7" customHeight="1">
      <c r="B147" s="5" t="s">
        <v>450</v>
      </c>
      <c r="C147" s="78" t="s">
        <v>451</v>
      </c>
      <c r="D147" s="124">
        <v>14284</v>
      </c>
      <c r="E147" s="138" t="s">
        <v>452</v>
      </c>
      <c r="F147" s="121" t="s">
        <v>453</v>
      </c>
      <c r="G147" s="122">
        <v>0</v>
      </c>
    </row>
    <row r="148" spans="2:7" ht="13.7" customHeight="1" thickBot="1">
      <c r="B148" s="5"/>
      <c r="C148" s="85" t="s">
        <v>518</v>
      </c>
      <c r="D148" s="94">
        <f>SUM(D144:D147)</f>
        <v>1217328</v>
      </c>
      <c r="E148" s="138" t="s">
        <v>454</v>
      </c>
      <c r="F148" s="121" t="s">
        <v>455</v>
      </c>
      <c r="G148" s="122">
        <v>0</v>
      </c>
    </row>
    <row r="149" spans="2:7" ht="13.7" customHeight="1">
      <c r="B149" s="5" t="s">
        <v>456</v>
      </c>
      <c r="C149" s="119" t="s">
        <v>457</v>
      </c>
      <c r="D149" s="120">
        <v>1204085</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f>14298-1043</f>
        <v>13255</v>
      </c>
      <c r="E151" s="138" t="s">
        <v>466</v>
      </c>
      <c r="F151" s="121" t="s">
        <v>467</v>
      </c>
      <c r="G151" s="122">
        <v>0</v>
      </c>
    </row>
    <row r="152" spans="2:7" ht="13.7" customHeight="1" thickBot="1">
      <c r="B152" s="5"/>
      <c r="C152" s="85" t="s">
        <v>516</v>
      </c>
      <c r="D152" s="94">
        <f>SUM(D149:D151)</f>
        <v>1217340</v>
      </c>
      <c r="E152" s="138" t="s">
        <v>469</v>
      </c>
      <c r="F152" s="121" t="s">
        <v>470</v>
      </c>
      <c r="G152" s="122">
        <v>804625</v>
      </c>
    </row>
    <row r="153" spans="2:7" ht="15" customHeight="1" thickBot="1">
      <c r="B153" s="5"/>
      <c r="C153" s="110" t="s">
        <v>471</v>
      </c>
      <c r="D153" s="129">
        <f>D122+D126+D138+D142+D143+D148+D152</f>
        <v>89195816</v>
      </c>
      <c r="E153" s="138" t="s">
        <v>472</v>
      </c>
      <c r="F153" s="78" t="s">
        <v>473</v>
      </c>
      <c r="G153" s="79">
        <v>103022</v>
      </c>
    </row>
    <row r="154" spans="2:7" ht="13.7" customHeight="1" thickBot="1">
      <c r="B154" s="5"/>
      <c r="C154" s="116"/>
      <c r="D154" s="116"/>
      <c r="E154" s="138"/>
      <c r="F154" s="85" t="s">
        <v>474</v>
      </c>
      <c r="G154" s="94">
        <f>SUM(G144:G153)</f>
        <v>6791913</v>
      </c>
    </row>
    <row r="155" spans="2:7" ht="13.5" customHeight="1" thickBot="1">
      <c r="B155" s="5"/>
      <c r="C155" s="72" t="s">
        <v>475</v>
      </c>
      <c r="D155" s="103">
        <f>G109-D153</f>
        <v>62912270.220000029</v>
      </c>
      <c r="E155" s="138" t="s">
        <v>476</v>
      </c>
      <c r="F155" s="119" t="s">
        <v>477</v>
      </c>
      <c r="G155" s="120">
        <v>145480</v>
      </c>
    </row>
    <row r="156" spans="2:7" ht="13.7" customHeight="1">
      <c r="C156" s="116"/>
      <c r="D156" s="116"/>
      <c r="E156" s="138" t="s">
        <v>478</v>
      </c>
      <c r="F156" s="121" t="s">
        <v>479</v>
      </c>
      <c r="G156" s="122">
        <v>0</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11043783</v>
      </c>
    </row>
    <row r="166" spans="3:7" ht="13.7" customHeight="1">
      <c r="C166" s="116"/>
      <c r="D166" s="116"/>
      <c r="E166" s="138" t="s">
        <v>498</v>
      </c>
      <c r="F166" s="121" t="s">
        <v>499</v>
      </c>
      <c r="G166" s="122">
        <v>4709086</v>
      </c>
    </row>
    <row r="167" spans="3:7" ht="13.7" customHeight="1">
      <c r="C167" s="116"/>
      <c r="D167" s="116"/>
      <c r="E167" s="138" t="s">
        <v>500</v>
      </c>
      <c r="F167" s="78" t="s">
        <v>501</v>
      </c>
      <c r="G167" s="79">
        <v>30411</v>
      </c>
    </row>
    <row r="168" spans="3:7" ht="13.7" customHeight="1" thickBot="1">
      <c r="C168" s="116"/>
      <c r="D168" s="116"/>
      <c r="E168" s="138"/>
      <c r="F168" s="85" t="s">
        <v>502</v>
      </c>
      <c r="G168" s="94">
        <f>SUM(G155:G167)</f>
        <v>15928760</v>
      </c>
    </row>
    <row r="169" spans="3:7" ht="13.7" customHeight="1" thickBot="1">
      <c r="C169" s="116"/>
      <c r="D169" s="116"/>
      <c r="E169" s="138"/>
      <c r="F169" s="110" t="s">
        <v>503</v>
      </c>
      <c r="G169" s="126">
        <f>G154-G168</f>
        <v>-9136847</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34615222.220000029</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f>1008062+1876219+2411602+6428712</f>
        <v>11724595</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11724595</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46339817.220000029</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93" priority="2" stopIfTrue="1" operator="greaterThan">
      <formula>50</formula>
    </cfRule>
    <cfRule type="cellIs" dxfId="192" priority="11" stopIfTrue="1" operator="equal">
      <formula>0</formula>
    </cfRule>
  </conditionalFormatting>
  <conditionalFormatting sqref="D7:D61">
    <cfRule type="cellIs" dxfId="191" priority="9" stopIfTrue="1" operator="between">
      <formula>-0.1</formula>
      <formula>-50</formula>
    </cfRule>
    <cfRule type="cellIs" dxfId="190" priority="10" stopIfTrue="1" operator="between">
      <formula>0.1</formula>
      <formula>50</formula>
    </cfRule>
  </conditionalFormatting>
  <conditionalFormatting sqref="G152:G181 G7:G150">
    <cfRule type="cellIs" dxfId="189" priority="7" stopIfTrue="1" operator="between">
      <formula>-0.1</formula>
      <formula>-50</formula>
    </cfRule>
    <cfRule type="cellIs" dxfId="188" priority="8" stopIfTrue="1" operator="between">
      <formula>0.1</formula>
      <formula>50</formula>
    </cfRule>
  </conditionalFormatting>
  <conditionalFormatting sqref="D111:D155">
    <cfRule type="cellIs" dxfId="187" priority="5" stopIfTrue="1" operator="between">
      <formula>-0.1</formula>
      <formula>-50</formula>
    </cfRule>
    <cfRule type="cellIs" dxfId="186" priority="6" stopIfTrue="1" operator="between">
      <formula>0.1</formula>
      <formula>50</formula>
    </cfRule>
  </conditionalFormatting>
  <conditionalFormatting sqref="G165">
    <cfRule type="expression" dxfId="185" priority="4" stopIfTrue="1">
      <formula>AND($G$165&gt;0,$G$151&gt;0)</formula>
    </cfRule>
  </conditionalFormatting>
  <conditionalFormatting sqref="G151">
    <cfRule type="expression" dxfId="18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75 D144:D151 G137:G138 D137 G98 G77 G50 D42 G23 D18" unlockedFormula="1"/>
    <ignoredError sqref="G4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C169" sqref="C169"/>
    </sheetView>
  </sheetViews>
  <sheetFormatPr baseColWidth="10" defaultColWidth="0" defaultRowHeight="15.75" zeroHeight="1"/>
  <cols>
    <col min="1" max="1" width="3" style="1" customWidth="1"/>
    <col min="2" max="2" width="14.28515625" style="6" hidden="1" customWidth="1"/>
    <col min="3" max="3" width="56.85546875" style="19" customWidth="1"/>
    <col min="4" max="4" width="21" style="19" customWidth="1"/>
    <col min="5" max="5" width="3.85546875" style="13" customWidth="1"/>
    <col min="6" max="6" width="57.28515625" style="19" customWidth="1"/>
    <col min="7" max="7" width="21" style="19" customWidth="1"/>
    <col min="8" max="8" width="3.7109375" style="4" customWidth="1"/>
    <col min="9" max="16384" width="0" style="4" hidden="1"/>
  </cols>
  <sheetData>
    <row r="1" spans="1:9">
      <c r="B1" s="2"/>
      <c r="C1" s="255" t="s">
        <v>0</v>
      </c>
      <c r="D1" s="258"/>
      <c r="E1" s="253" t="str">
        <f>[30]Presentacion!C3</f>
        <v>COMERI - IAMPP</v>
      </c>
      <c r="F1" s="253"/>
      <c r="G1" s="136"/>
      <c r="H1" s="3"/>
    </row>
    <row r="2" spans="1:9">
      <c r="B2" s="5"/>
      <c r="C2" s="255" t="s">
        <v>1</v>
      </c>
      <c r="D2" s="258"/>
      <c r="E2" s="253" t="str">
        <f>[30]Presentacion!C4</f>
        <v>Rivera</v>
      </c>
      <c r="F2" s="253"/>
      <c r="G2" s="136"/>
      <c r="H2" s="3"/>
    </row>
    <row r="3" spans="1:9">
      <c r="B3" s="5"/>
      <c r="C3" s="255" t="s">
        <v>2</v>
      </c>
      <c r="D3" s="255"/>
      <c r="E3" s="254" t="s">
        <v>3</v>
      </c>
      <c r="F3" s="254"/>
      <c r="G3" s="136"/>
      <c r="H3" s="3"/>
    </row>
    <row r="4" spans="1:9" ht="9"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+[30]E.S.P.!D6</f>
        <v>2021</v>
      </c>
      <c r="E6" s="138"/>
      <c r="F6" s="75" t="s">
        <v>8</v>
      </c>
      <c r="G6" s="76">
        <f>+D6</f>
        <v>2021</v>
      </c>
      <c r="H6" s="12"/>
    </row>
    <row r="7" spans="1:9">
      <c r="B7" s="5" t="s">
        <v>9</v>
      </c>
      <c r="C7" s="78" t="s">
        <v>10</v>
      </c>
      <c r="D7" s="79">
        <v>13007677</v>
      </c>
      <c r="E7" s="138" t="s">
        <v>11</v>
      </c>
      <c r="F7" s="80" t="s">
        <v>12</v>
      </c>
      <c r="G7" s="81">
        <v>3546067</v>
      </c>
    </row>
    <row r="8" spans="1:9">
      <c r="B8" s="5" t="s">
        <v>13</v>
      </c>
      <c r="C8" s="78" t="s">
        <v>14</v>
      </c>
      <c r="D8" s="79">
        <v>40589062</v>
      </c>
      <c r="E8" s="138" t="s">
        <v>15</v>
      </c>
      <c r="F8" s="78" t="s">
        <v>16</v>
      </c>
      <c r="G8" s="82">
        <v>28284769</v>
      </c>
    </row>
    <row r="9" spans="1:9">
      <c r="B9" s="5" t="s">
        <v>17</v>
      </c>
      <c r="C9" s="78" t="s">
        <v>18</v>
      </c>
      <c r="D9" s="79">
        <v>643085783</v>
      </c>
      <c r="E9" s="138" t="s">
        <v>19</v>
      </c>
      <c r="F9" s="78" t="s">
        <v>20</v>
      </c>
      <c r="G9" s="79">
        <v>0</v>
      </c>
    </row>
    <row r="10" spans="1:9">
      <c r="B10" s="5" t="s">
        <v>21</v>
      </c>
      <c r="C10" s="78" t="s">
        <v>22</v>
      </c>
      <c r="D10" s="79">
        <v>44624145</v>
      </c>
      <c r="E10" s="138" t="s">
        <v>23</v>
      </c>
      <c r="F10" s="78" t="s">
        <v>24</v>
      </c>
      <c r="G10" s="79">
        <v>67947732</v>
      </c>
    </row>
    <row r="11" spans="1:9">
      <c r="B11" s="5" t="s">
        <v>25</v>
      </c>
      <c r="C11" s="78" t="s">
        <v>26</v>
      </c>
      <c r="D11" s="79">
        <v>11399002</v>
      </c>
      <c r="E11" s="138" t="s">
        <v>27</v>
      </c>
      <c r="F11" s="78" t="s">
        <v>28</v>
      </c>
      <c r="G11" s="79">
        <v>0</v>
      </c>
    </row>
    <row r="12" spans="1:9">
      <c r="B12" s="5" t="s">
        <v>29</v>
      </c>
      <c r="C12" s="78" t="s">
        <v>30</v>
      </c>
      <c r="D12" s="79">
        <v>14743303</v>
      </c>
      <c r="E12" s="138" t="s">
        <v>31</v>
      </c>
      <c r="F12" s="78" t="s">
        <v>32</v>
      </c>
      <c r="G12" s="79">
        <v>59299667</v>
      </c>
    </row>
    <row r="13" spans="1:9">
      <c r="B13" s="5" t="s">
        <v>33</v>
      </c>
      <c r="C13" s="78" t="s">
        <v>34</v>
      </c>
      <c r="D13" s="79">
        <v>4334156</v>
      </c>
      <c r="E13" s="138" t="s">
        <v>35</v>
      </c>
      <c r="F13" s="78" t="s">
        <v>36</v>
      </c>
      <c r="G13" s="79">
        <v>0</v>
      </c>
    </row>
    <row r="14" spans="1:9">
      <c r="A14" s="14"/>
      <c r="B14" s="5" t="s">
        <v>37</v>
      </c>
      <c r="C14" s="78" t="s">
        <v>38</v>
      </c>
      <c r="D14" s="79">
        <v>0</v>
      </c>
      <c r="E14" s="138" t="s">
        <v>39</v>
      </c>
      <c r="F14" s="78" t="s">
        <v>40</v>
      </c>
      <c r="G14" s="79">
        <v>103833656</v>
      </c>
    </row>
    <row r="15" spans="1:9">
      <c r="B15" s="5" t="s">
        <v>41</v>
      </c>
      <c r="C15" s="83" t="s">
        <v>42</v>
      </c>
      <c r="D15" s="79">
        <v>0</v>
      </c>
      <c r="E15" s="138" t="s">
        <v>43</v>
      </c>
      <c r="F15" s="78" t="s">
        <v>44</v>
      </c>
      <c r="G15" s="79">
        <v>0</v>
      </c>
    </row>
    <row r="16" spans="1:9">
      <c r="B16" s="5" t="s">
        <v>45</v>
      </c>
      <c r="C16" s="78" t="s">
        <v>46</v>
      </c>
      <c r="D16" s="79">
        <v>0</v>
      </c>
      <c r="E16" s="138" t="s">
        <v>47</v>
      </c>
      <c r="F16" s="78" t="s">
        <v>48</v>
      </c>
      <c r="G16" s="79">
        <v>53443833</v>
      </c>
    </row>
    <row r="17" spans="1:7">
      <c r="B17" s="5" t="s">
        <v>49</v>
      </c>
      <c r="C17" s="78" t="s">
        <v>50</v>
      </c>
      <c r="D17" s="79">
        <v>0</v>
      </c>
      <c r="E17" s="138" t="s">
        <v>51</v>
      </c>
      <c r="F17" s="78" t="s">
        <v>52</v>
      </c>
      <c r="G17" s="79">
        <v>0</v>
      </c>
    </row>
    <row r="18" spans="1:7">
      <c r="A18" s="14"/>
      <c r="B18" s="5" t="s">
        <v>53</v>
      </c>
      <c r="C18" s="78" t="s">
        <v>54</v>
      </c>
      <c r="D18" s="79">
        <v>6812525</v>
      </c>
      <c r="E18" s="138" t="s">
        <v>55</v>
      </c>
      <c r="F18" s="78" t="s">
        <v>56</v>
      </c>
      <c r="G18" s="84">
        <v>11780233</v>
      </c>
    </row>
    <row r="19" spans="1:7" ht="16.5" thickBot="1">
      <c r="A19" s="14"/>
      <c r="B19" s="5" t="s">
        <v>57</v>
      </c>
      <c r="C19" s="78" t="s">
        <v>58</v>
      </c>
      <c r="D19" s="79">
        <v>28992801</v>
      </c>
      <c r="E19" s="138"/>
      <c r="F19" s="85" t="s">
        <v>59</v>
      </c>
      <c r="G19" s="86">
        <f>SUM(G7:G18)</f>
        <v>328135957</v>
      </c>
    </row>
    <row r="20" spans="1:7" ht="16.5" thickBot="1">
      <c r="B20" s="5"/>
      <c r="C20" s="85" t="s">
        <v>60</v>
      </c>
      <c r="D20" s="86">
        <f>SUM(D7:D19)</f>
        <v>807588454</v>
      </c>
      <c r="E20" s="138" t="s">
        <v>61</v>
      </c>
      <c r="F20" s="80" t="s">
        <v>62</v>
      </c>
      <c r="G20" s="81">
        <v>142287</v>
      </c>
    </row>
    <row r="21" spans="1:7">
      <c r="B21" s="5"/>
      <c r="C21" s="87" t="s">
        <v>63</v>
      </c>
      <c r="D21" s="88">
        <f>SUM(D22:D28)</f>
        <v>2632931</v>
      </c>
      <c r="E21" s="138" t="s">
        <v>64</v>
      </c>
      <c r="F21" s="78" t="s">
        <v>65</v>
      </c>
      <c r="G21" s="79">
        <v>3941620</v>
      </c>
    </row>
    <row r="22" spans="1:7">
      <c r="B22" s="5" t="s">
        <v>66</v>
      </c>
      <c r="C22" s="78" t="s">
        <v>67</v>
      </c>
      <c r="D22" s="79">
        <v>655116</v>
      </c>
      <c r="E22" s="138" t="s">
        <v>68</v>
      </c>
      <c r="F22" s="78" t="s">
        <v>69</v>
      </c>
      <c r="G22" s="79">
        <v>2393477</v>
      </c>
    </row>
    <row r="23" spans="1:7">
      <c r="B23" s="5" t="s">
        <v>70</v>
      </c>
      <c r="C23" s="78" t="s">
        <v>71</v>
      </c>
      <c r="D23" s="79">
        <v>0</v>
      </c>
      <c r="E23" s="138" t="s">
        <v>72</v>
      </c>
      <c r="F23" s="78" t="s">
        <v>73</v>
      </c>
      <c r="G23" s="79">
        <v>4346911</v>
      </c>
    </row>
    <row r="24" spans="1:7">
      <c r="B24" s="5" t="s">
        <v>74</v>
      </c>
      <c r="C24" s="78" t="s">
        <v>75</v>
      </c>
      <c r="D24" s="79">
        <v>181514</v>
      </c>
      <c r="E24" s="138" t="s">
        <v>76</v>
      </c>
      <c r="F24" s="78" t="s">
        <v>77</v>
      </c>
      <c r="G24" s="79">
        <v>0</v>
      </c>
    </row>
    <row r="25" spans="1:7">
      <c r="B25" s="5" t="s">
        <v>78</v>
      </c>
      <c r="C25" s="78" t="s">
        <v>79</v>
      </c>
      <c r="D25" s="79">
        <v>0</v>
      </c>
      <c r="E25" s="138" t="s">
        <v>80</v>
      </c>
      <c r="F25" s="78" t="s">
        <v>81</v>
      </c>
      <c r="G25" s="79">
        <v>0</v>
      </c>
    </row>
    <row r="26" spans="1:7">
      <c r="B26" s="5" t="s">
        <v>82</v>
      </c>
      <c r="C26" s="78" t="s">
        <v>83</v>
      </c>
      <c r="D26" s="79">
        <v>0</v>
      </c>
      <c r="E26" s="138" t="s">
        <v>84</v>
      </c>
      <c r="F26" s="78" t="s">
        <v>85</v>
      </c>
      <c r="G26" s="84">
        <v>403067</v>
      </c>
    </row>
    <row r="27" spans="1:7" ht="13.5" customHeight="1" thickBot="1">
      <c r="B27" s="5" t="s">
        <v>86</v>
      </c>
      <c r="C27" s="78" t="s">
        <v>87</v>
      </c>
      <c r="D27" s="79">
        <v>1701777</v>
      </c>
      <c r="E27" s="138"/>
      <c r="F27" s="85" t="s">
        <v>88</v>
      </c>
      <c r="G27" s="86">
        <f>SUM(G20:G26)</f>
        <v>11227362</v>
      </c>
    </row>
    <row r="28" spans="1:7">
      <c r="B28" s="5" t="s">
        <v>89</v>
      </c>
      <c r="C28" s="78" t="s">
        <v>90</v>
      </c>
      <c r="D28" s="79">
        <v>94524</v>
      </c>
      <c r="E28" s="138" t="s">
        <v>91</v>
      </c>
      <c r="F28" s="80" t="s">
        <v>92</v>
      </c>
      <c r="G28" s="81">
        <v>90648533</v>
      </c>
    </row>
    <row r="29" spans="1:7">
      <c r="B29" s="5"/>
      <c r="C29" s="89" t="s">
        <v>93</v>
      </c>
      <c r="D29" s="88">
        <f>SUM(D30:D34)</f>
        <v>45144680</v>
      </c>
      <c r="E29" s="138" t="s">
        <v>94</v>
      </c>
      <c r="F29" s="78" t="s">
        <v>95</v>
      </c>
      <c r="G29" s="79">
        <v>61574575</v>
      </c>
    </row>
    <row r="30" spans="1:7">
      <c r="B30" s="5" t="s">
        <v>96</v>
      </c>
      <c r="C30" s="78" t="s">
        <v>97</v>
      </c>
      <c r="D30" s="79">
        <v>36068848</v>
      </c>
      <c r="E30" s="138" t="s">
        <v>98</v>
      </c>
      <c r="F30" s="78" t="s">
        <v>99</v>
      </c>
      <c r="G30" s="79">
        <v>8509370</v>
      </c>
    </row>
    <row r="31" spans="1:7">
      <c r="B31" s="5" t="s">
        <v>100</v>
      </c>
      <c r="C31" s="78" t="s">
        <v>101</v>
      </c>
      <c r="D31" s="79">
        <v>0</v>
      </c>
      <c r="E31" s="138" t="s">
        <v>102</v>
      </c>
      <c r="F31" s="78" t="s">
        <v>103</v>
      </c>
      <c r="G31" s="84">
        <v>5985244</v>
      </c>
    </row>
    <row r="32" spans="1:7" ht="16.5" thickBot="1">
      <c r="B32" s="5" t="s">
        <v>104</v>
      </c>
      <c r="C32" s="78" t="s">
        <v>105</v>
      </c>
      <c r="D32" s="79">
        <v>5937837</v>
      </c>
      <c r="E32" s="138"/>
      <c r="F32" s="85" t="s">
        <v>106</v>
      </c>
      <c r="G32" s="86">
        <f>SUM(G28:G31)</f>
        <v>166717722</v>
      </c>
    </row>
    <row r="33" spans="2:7">
      <c r="B33" s="5" t="s">
        <v>107</v>
      </c>
      <c r="C33" s="78" t="s">
        <v>108</v>
      </c>
      <c r="D33" s="79">
        <v>1517280</v>
      </c>
      <c r="E33" s="138"/>
      <c r="F33" s="89" t="s">
        <v>109</v>
      </c>
      <c r="G33" s="88">
        <f>SUM(G34:G39)</f>
        <v>40817085</v>
      </c>
    </row>
    <row r="34" spans="2:7">
      <c r="B34" s="5" t="s">
        <v>110</v>
      </c>
      <c r="C34" s="78" t="s">
        <v>111</v>
      </c>
      <c r="D34" s="79">
        <v>1620715</v>
      </c>
      <c r="E34" s="138" t="s">
        <v>112</v>
      </c>
      <c r="F34" s="78" t="s">
        <v>113</v>
      </c>
      <c r="G34" s="79">
        <v>0</v>
      </c>
    </row>
    <row r="35" spans="2:7" ht="16.5" thickBot="1">
      <c r="B35" s="5"/>
      <c r="C35" s="85" t="s">
        <v>114</v>
      </c>
      <c r="D35" s="86">
        <f>+D21+D29</f>
        <v>47777611</v>
      </c>
      <c r="E35" s="138" t="s">
        <v>115</v>
      </c>
      <c r="F35" s="78" t="s">
        <v>116</v>
      </c>
      <c r="G35" s="79">
        <v>0</v>
      </c>
    </row>
    <row r="36" spans="2:7">
      <c r="B36" s="5" t="s">
        <v>117</v>
      </c>
      <c r="C36" s="78" t="s">
        <v>118</v>
      </c>
      <c r="D36" s="79">
        <v>2567993</v>
      </c>
      <c r="E36" s="138" t="s">
        <v>119</v>
      </c>
      <c r="F36" s="78" t="s">
        <v>517</v>
      </c>
      <c r="G36" s="79">
        <v>0</v>
      </c>
    </row>
    <row r="37" spans="2:7">
      <c r="B37" s="5" t="s">
        <v>120</v>
      </c>
      <c r="C37" s="78" t="s">
        <v>121</v>
      </c>
      <c r="D37" s="79">
        <v>3697899</v>
      </c>
      <c r="E37" s="138" t="s">
        <v>122</v>
      </c>
      <c r="F37" s="78" t="s">
        <v>123</v>
      </c>
      <c r="G37" s="79">
        <v>0</v>
      </c>
    </row>
    <row r="38" spans="2:7">
      <c r="B38" s="5" t="s">
        <v>124</v>
      </c>
      <c r="C38" s="78" t="s">
        <v>125</v>
      </c>
      <c r="D38" s="79">
        <v>0</v>
      </c>
      <c r="E38" s="138" t="s">
        <v>126</v>
      </c>
      <c r="F38" s="78" t="s">
        <v>127</v>
      </c>
      <c r="G38" s="79">
        <v>0</v>
      </c>
    </row>
    <row r="39" spans="2:7">
      <c r="B39" s="5" t="s">
        <v>128</v>
      </c>
      <c r="C39" s="78" t="s">
        <v>129</v>
      </c>
      <c r="D39" s="79">
        <v>0</v>
      </c>
      <c r="E39" s="138" t="s">
        <v>130</v>
      </c>
      <c r="F39" s="78" t="s">
        <v>131</v>
      </c>
      <c r="G39" s="79">
        <v>40817085</v>
      </c>
    </row>
    <row r="40" spans="2:7">
      <c r="B40" s="5" t="s">
        <v>132</v>
      </c>
      <c r="C40" s="78" t="s">
        <v>133</v>
      </c>
      <c r="D40" s="79">
        <v>7297637</v>
      </c>
      <c r="E40" s="138"/>
      <c r="F40" s="90" t="s">
        <v>134</v>
      </c>
      <c r="G40" s="91">
        <f>SUM(G41:G46)</f>
        <v>9209211</v>
      </c>
    </row>
    <row r="41" spans="2:7">
      <c r="B41" s="5" t="s">
        <v>135</v>
      </c>
      <c r="C41" s="78" t="s">
        <v>136</v>
      </c>
      <c r="D41" s="79">
        <v>0</v>
      </c>
      <c r="E41" s="138" t="s">
        <v>137</v>
      </c>
      <c r="F41" s="78" t="s">
        <v>138</v>
      </c>
      <c r="G41" s="79">
        <v>0</v>
      </c>
    </row>
    <row r="42" spans="2:7">
      <c r="B42" s="5" t="s">
        <v>139</v>
      </c>
      <c r="C42" s="78" t="s">
        <v>140</v>
      </c>
      <c r="D42" s="79">
        <v>48038423</v>
      </c>
      <c r="E42" s="138" t="s">
        <v>141</v>
      </c>
      <c r="F42" s="78" t="s">
        <v>142</v>
      </c>
      <c r="G42" s="79">
        <v>0</v>
      </c>
    </row>
    <row r="43" spans="2:7">
      <c r="B43" s="5" t="s">
        <v>143</v>
      </c>
      <c r="C43" s="78" t="s">
        <v>144</v>
      </c>
      <c r="D43" s="79">
        <v>0</v>
      </c>
      <c r="E43" s="138" t="s">
        <v>145</v>
      </c>
      <c r="F43" s="78" t="s">
        <v>146</v>
      </c>
      <c r="G43" s="79">
        <v>0</v>
      </c>
    </row>
    <row r="44" spans="2:7">
      <c r="B44" s="5" t="s">
        <v>147</v>
      </c>
      <c r="C44" s="78" t="s">
        <v>148</v>
      </c>
      <c r="D44" s="79">
        <v>0</v>
      </c>
      <c r="E44" s="138" t="s">
        <v>149</v>
      </c>
      <c r="F44" s="78" t="s">
        <v>150</v>
      </c>
      <c r="G44" s="79">
        <v>0</v>
      </c>
    </row>
    <row r="45" spans="2:7">
      <c r="B45" s="5" t="s">
        <v>151</v>
      </c>
      <c r="C45" s="78" t="s">
        <v>152</v>
      </c>
      <c r="D45" s="79">
        <v>0</v>
      </c>
      <c r="E45" s="138" t="s">
        <v>153</v>
      </c>
      <c r="F45" s="78" t="s">
        <v>154</v>
      </c>
      <c r="G45" s="79">
        <v>0</v>
      </c>
    </row>
    <row r="46" spans="2:7">
      <c r="B46" s="5" t="s">
        <v>155</v>
      </c>
      <c r="C46" s="78" t="s">
        <v>156</v>
      </c>
      <c r="D46" s="79">
        <v>2293890</v>
      </c>
      <c r="E46" s="138" t="s">
        <v>157</v>
      </c>
      <c r="F46" s="78" t="s">
        <v>158</v>
      </c>
      <c r="G46" s="79">
        <v>9209211</v>
      </c>
    </row>
    <row r="47" spans="2:7" ht="16.5" thickBot="1">
      <c r="B47" s="5"/>
      <c r="C47" s="85" t="s">
        <v>159</v>
      </c>
      <c r="D47" s="86">
        <f>SUM(D36:D46)</f>
        <v>63895842</v>
      </c>
      <c r="E47" s="138" t="s">
        <v>160</v>
      </c>
      <c r="F47" s="78" t="s">
        <v>161</v>
      </c>
      <c r="G47" s="84">
        <v>1862844</v>
      </c>
    </row>
    <row r="48" spans="2:7" ht="16.5" thickBot="1">
      <c r="B48" s="5"/>
      <c r="C48" s="92" t="s">
        <v>162</v>
      </c>
      <c r="D48" s="93"/>
      <c r="E48" s="138"/>
      <c r="F48" s="85" t="s">
        <v>163</v>
      </c>
      <c r="G48" s="94">
        <f>+G33+G40+G47</f>
        <v>51889140</v>
      </c>
    </row>
    <row r="49" spans="2:7">
      <c r="B49" s="5" t="s">
        <v>164</v>
      </c>
      <c r="C49" s="95" t="s">
        <v>165</v>
      </c>
      <c r="D49" s="96">
        <v>0</v>
      </c>
      <c r="E49" s="138" t="s">
        <v>166</v>
      </c>
      <c r="F49" s="80" t="s">
        <v>167</v>
      </c>
      <c r="G49" s="81">
        <v>1098364</v>
      </c>
    </row>
    <row r="50" spans="2:7">
      <c r="B50" s="5" t="s">
        <v>168</v>
      </c>
      <c r="C50" s="78" t="s">
        <v>162</v>
      </c>
      <c r="D50" s="79">
        <v>5444260</v>
      </c>
      <c r="E50" s="138" t="s">
        <v>169</v>
      </c>
      <c r="F50" s="78" t="s">
        <v>170</v>
      </c>
      <c r="G50" s="79">
        <v>16516128</v>
      </c>
    </row>
    <row r="51" spans="2:7">
      <c r="B51" s="5" t="s">
        <v>171</v>
      </c>
      <c r="C51" s="78" t="s">
        <v>172</v>
      </c>
      <c r="D51" s="84">
        <v>0</v>
      </c>
      <c r="E51" s="138" t="s">
        <v>173</v>
      </c>
      <c r="F51" s="78" t="s">
        <v>174</v>
      </c>
      <c r="G51" s="79">
        <v>0</v>
      </c>
    </row>
    <row r="52" spans="2:7" ht="16.5" thickBot="1">
      <c r="B52" s="11"/>
      <c r="C52" s="85" t="s">
        <v>175</v>
      </c>
      <c r="D52" s="86">
        <f>SUM(D49:D51)</f>
        <v>5444260</v>
      </c>
      <c r="E52" s="138" t="s">
        <v>176</v>
      </c>
      <c r="F52" s="78" t="s">
        <v>177</v>
      </c>
      <c r="G52" s="79">
        <v>1075944</v>
      </c>
    </row>
    <row r="53" spans="2:7" ht="16.5" thickBot="1">
      <c r="B53" s="5"/>
      <c r="C53" s="75" t="s">
        <v>178</v>
      </c>
      <c r="D53" s="97">
        <f>D20+D35+D47+D52</f>
        <v>924706167</v>
      </c>
      <c r="E53" s="138" t="s">
        <v>179</v>
      </c>
      <c r="F53" s="78" t="s">
        <v>180</v>
      </c>
      <c r="G53" s="79">
        <v>575151</v>
      </c>
    </row>
    <row r="54" spans="2:7">
      <c r="C54" s="98"/>
      <c r="D54" s="99"/>
      <c r="E54" s="138" t="s">
        <v>181</v>
      </c>
      <c r="F54" s="78" t="s">
        <v>182</v>
      </c>
      <c r="G54" s="79">
        <v>23439</v>
      </c>
    </row>
    <row r="55" spans="2:7">
      <c r="C55" s="100" t="s">
        <v>183</v>
      </c>
      <c r="D55" s="101"/>
      <c r="E55" s="138" t="s">
        <v>184</v>
      </c>
      <c r="F55" s="78" t="s">
        <v>185</v>
      </c>
      <c r="G55" s="79">
        <v>7913720</v>
      </c>
    </row>
    <row r="56" spans="2:7">
      <c r="B56" s="5" t="s">
        <v>186</v>
      </c>
      <c r="C56" s="102" t="s">
        <v>187</v>
      </c>
      <c r="D56" s="79"/>
      <c r="E56" s="138" t="s">
        <v>188</v>
      </c>
      <c r="F56" s="78" t="s">
        <v>189</v>
      </c>
      <c r="G56" s="84">
        <v>1012957</v>
      </c>
    </row>
    <row r="57" spans="2:7" ht="14.25" customHeight="1" thickBot="1">
      <c r="B57" s="5" t="s">
        <v>190</v>
      </c>
      <c r="C57" s="102" t="s">
        <v>191</v>
      </c>
      <c r="D57" s="79"/>
      <c r="E57" s="138"/>
      <c r="F57" s="85" t="s">
        <v>192</v>
      </c>
      <c r="G57" s="86">
        <f>SUM(G49:G56)</f>
        <v>28215703</v>
      </c>
    </row>
    <row r="58" spans="2:7">
      <c r="B58" s="5" t="s">
        <v>193</v>
      </c>
      <c r="C58" s="102" t="s">
        <v>194</v>
      </c>
      <c r="D58" s="79"/>
      <c r="E58" s="138" t="s">
        <v>195</v>
      </c>
      <c r="F58" s="80" t="s">
        <v>196</v>
      </c>
      <c r="G58" s="81">
        <v>130690127</v>
      </c>
    </row>
    <row r="59" spans="2:7">
      <c r="B59" s="5" t="s">
        <v>197</v>
      </c>
      <c r="C59" s="78" t="s">
        <v>198</v>
      </c>
      <c r="D59" s="84"/>
      <c r="E59" s="138" t="s">
        <v>199</v>
      </c>
      <c r="F59" s="78" t="s">
        <v>200</v>
      </c>
      <c r="G59" s="79">
        <v>2238308</v>
      </c>
    </row>
    <row r="60" spans="2:7" ht="16.5" thickBot="1">
      <c r="B60" s="5"/>
      <c r="C60" s="85" t="s">
        <v>201</v>
      </c>
      <c r="D60" s="86">
        <f>SUM(D56:D59)</f>
        <v>0</v>
      </c>
      <c r="E60" s="138" t="s">
        <v>202</v>
      </c>
      <c r="F60" s="78" t="s">
        <v>203</v>
      </c>
      <c r="G60" s="79">
        <v>2385540</v>
      </c>
    </row>
    <row r="61" spans="2:7" ht="16.5" thickBot="1">
      <c r="B61" s="15"/>
      <c r="C61" s="72" t="s">
        <v>204</v>
      </c>
      <c r="D61" s="103">
        <f>D53+D60</f>
        <v>924706167</v>
      </c>
      <c r="E61" s="138" t="s">
        <v>205</v>
      </c>
      <c r="F61" s="78" t="s">
        <v>206</v>
      </c>
      <c r="G61" s="79">
        <v>536406</v>
      </c>
    </row>
    <row r="62" spans="2:7">
      <c r="B62" s="16"/>
      <c r="C62" s="116"/>
      <c r="D62" s="116"/>
      <c r="E62" s="138" t="s">
        <v>207</v>
      </c>
      <c r="F62" s="78" t="s">
        <v>208</v>
      </c>
      <c r="G62" s="79">
        <v>10375208</v>
      </c>
    </row>
    <row r="63" spans="2:7">
      <c r="B63" s="17"/>
      <c r="C63" s="222" t="s">
        <v>8</v>
      </c>
      <c r="D63" s="222"/>
      <c r="E63" s="138" t="s">
        <v>209</v>
      </c>
      <c r="F63" s="78" t="s">
        <v>210</v>
      </c>
      <c r="G63" s="79">
        <v>2376666</v>
      </c>
    </row>
    <row r="64" spans="2:7">
      <c r="B64" s="18" t="s">
        <v>211</v>
      </c>
      <c r="C64" s="223" t="s">
        <v>212</v>
      </c>
      <c r="D64" s="223">
        <f>[30]Amortizaciones!D6</f>
        <v>2055979</v>
      </c>
      <c r="E64" s="138" t="s">
        <v>213</v>
      </c>
      <c r="F64" s="78" t="s">
        <v>214</v>
      </c>
      <c r="G64" s="79">
        <v>6597564</v>
      </c>
    </row>
    <row r="65" spans="2:7">
      <c r="B65" s="18" t="s">
        <v>215</v>
      </c>
      <c r="C65" s="223" t="s">
        <v>216</v>
      </c>
      <c r="D65" s="223">
        <f>[30]Amortizaciones!D7</f>
        <v>0</v>
      </c>
      <c r="E65" s="138" t="s">
        <v>217</v>
      </c>
      <c r="F65" s="78" t="s">
        <v>218</v>
      </c>
      <c r="G65" s="79">
        <v>182339</v>
      </c>
    </row>
    <row r="66" spans="2:7">
      <c r="B66" s="18" t="s">
        <v>219</v>
      </c>
      <c r="C66" s="223" t="s">
        <v>220</v>
      </c>
      <c r="D66" s="223">
        <f>[30]Amortizaciones!D8</f>
        <v>5508474</v>
      </c>
      <c r="E66" s="138" t="s">
        <v>221</v>
      </c>
      <c r="F66" s="78" t="s">
        <v>222</v>
      </c>
      <c r="G66" s="79">
        <v>2092416</v>
      </c>
    </row>
    <row r="67" spans="2:7">
      <c r="B67" s="18" t="s">
        <v>223</v>
      </c>
      <c r="C67" s="223" t="s">
        <v>224</v>
      </c>
      <c r="D67" s="223">
        <f>[30]Amortizaciones!D9</f>
        <v>0</v>
      </c>
      <c r="E67" s="138" t="s">
        <v>225</v>
      </c>
      <c r="F67" s="78" t="s">
        <v>226</v>
      </c>
      <c r="G67" s="79">
        <v>3864452</v>
      </c>
    </row>
    <row r="68" spans="2:7">
      <c r="B68" s="18" t="s">
        <v>227</v>
      </c>
      <c r="C68" s="223" t="s">
        <v>228</v>
      </c>
      <c r="D68" s="223">
        <f>[30]Amortizaciones!D10</f>
        <v>276676</v>
      </c>
      <c r="E68" s="138" t="s">
        <v>229</v>
      </c>
      <c r="F68" s="78" t="s">
        <v>230</v>
      </c>
      <c r="G68" s="79">
        <v>97860</v>
      </c>
    </row>
    <row r="69" spans="2:7">
      <c r="B69" s="18" t="s">
        <v>231</v>
      </c>
      <c r="C69" s="223" t="s">
        <v>232</v>
      </c>
      <c r="D69" s="223">
        <f>[30]Amortizaciones!D11</f>
        <v>0</v>
      </c>
      <c r="E69" s="138" t="s">
        <v>233</v>
      </c>
      <c r="F69" s="78" t="s">
        <v>234</v>
      </c>
      <c r="G69" s="79">
        <v>270350</v>
      </c>
    </row>
    <row r="70" spans="2:7">
      <c r="B70" s="18" t="s">
        <v>235</v>
      </c>
      <c r="C70" s="223" t="s">
        <v>236</v>
      </c>
      <c r="D70" s="223">
        <f>[30]Amortizaciones!D12</f>
        <v>0</v>
      </c>
      <c r="E70" s="138" t="s">
        <v>237</v>
      </c>
      <c r="F70" s="78" t="s">
        <v>238</v>
      </c>
      <c r="G70" s="79">
        <v>24500</v>
      </c>
    </row>
    <row r="71" spans="2:7">
      <c r="B71" s="18" t="s">
        <v>239</v>
      </c>
      <c r="C71" s="223" t="s">
        <v>240</v>
      </c>
      <c r="D71" s="223">
        <f>[30]Amortizaciones!D13</f>
        <v>1278685</v>
      </c>
      <c r="E71" s="138" t="s">
        <v>241</v>
      </c>
      <c r="F71" s="78" t="s">
        <v>242</v>
      </c>
      <c r="G71" s="79">
        <v>0</v>
      </c>
    </row>
    <row r="72" spans="2:7">
      <c r="B72" s="18" t="s">
        <v>243</v>
      </c>
      <c r="C72" s="223" t="s">
        <v>244</v>
      </c>
      <c r="D72" s="223">
        <f>[30]Amortizaciones!D14</f>
        <v>1371595</v>
      </c>
      <c r="E72" s="138" t="s">
        <v>245</v>
      </c>
      <c r="F72" s="78" t="s">
        <v>246</v>
      </c>
      <c r="G72" s="79">
        <v>163928</v>
      </c>
    </row>
    <row r="73" spans="2:7">
      <c r="B73" s="18" t="s">
        <v>247</v>
      </c>
      <c r="C73" s="223" t="s">
        <v>248</v>
      </c>
      <c r="D73" s="223">
        <f>[30]Amortizaciones!D15</f>
        <v>0</v>
      </c>
      <c r="E73" s="138" t="s">
        <v>249</v>
      </c>
      <c r="F73" s="78" t="s">
        <v>250</v>
      </c>
      <c r="G73" s="79">
        <v>0</v>
      </c>
    </row>
    <row r="74" spans="2:7">
      <c r="B74" s="18" t="s">
        <v>251</v>
      </c>
      <c r="C74" s="223" t="s">
        <v>252</v>
      </c>
      <c r="D74" s="223">
        <f>[30]Amortizaciones!D16</f>
        <v>0</v>
      </c>
      <c r="E74" s="138" t="s">
        <v>253</v>
      </c>
      <c r="F74" s="78" t="s">
        <v>254</v>
      </c>
      <c r="G74" s="79">
        <v>0</v>
      </c>
    </row>
    <row r="75" spans="2:7">
      <c r="B75" s="18" t="s">
        <v>255</v>
      </c>
      <c r="C75" s="223" t="s">
        <v>256</v>
      </c>
      <c r="D75" s="223">
        <f>[30]Amortizaciones!D17</f>
        <v>0</v>
      </c>
      <c r="E75" s="138" t="s">
        <v>257</v>
      </c>
      <c r="F75" s="78" t="s">
        <v>258</v>
      </c>
      <c r="G75" s="79">
        <v>2898219</v>
      </c>
    </row>
    <row r="76" spans="2:7">
      <c r="B76" s="18" t="s">
        <v>259</v>
      </c>
      <c r="C76" s="223" t="s">
        <v>260</v>
      </c>
      <c r="D76" s="223">
        <f>[30]Amortizaciones!D18</f>
        <v>0</v>
      </c>
      <c r="E76" s="138" t="s">
        <v>261</v>
      </c>
      <c r="F76" s="78" t="s">
        <v>262</v>
      </c>
      <c r="G76" s="79">
        <v>4452</v>
      </c>
    </row>
    <row r="77" spans="2:7">
      <c r="B77" s="18" t="s">
        <v>263</v>
      </c>
      <c r="C77" s="223" t="s">
        <v>264</v>
      </c>
      <c r="D77" s="223">
        <f>SUM(D64:D76)</f>
        <v>10491409</v>
      </c>
      <c r="E77" s="138" t="s">
        <v>265</v>
      </c>
      <c r="F77" s="78" t="s">
        <v>266</v>
      </c>
      <c r="G77" s="79">
        <v>10885818</v>
      </c>
    </row>
    <row r="78" spans="2:7">
      <c r="B78" s="18"/>
      <c r="C78" s="223"/>
      <c r="D78" s="223"/>
      <c r="E78" s="138" t="s">
        <v>267</v>
      </c>
      <c r="F78" s="78" t="s">
        <v>268</v>
      </c>
      <c r="G78" s="84">
        <v>6542004</v>
      </c>
    </row>
    <row r="79" spans="2:7" ht="16.5" thickBot="1">
      <c r="B79" s="18"/>
      <c r="C79" s="222" t="s">
        <v>269</v>
      </c>
      <c r="D79" s="224"/>
      <c r="E79" s="138"/>
      <c r="F79" s="85" t="s">
        <v>270</v>
      </c>
      <c r="G79" s="86">
        <f>SUM(G58:G78)</f>
        <v>182226157</v>
      </c>
    </row>
    <row r="80" spans="2:7">
      <c r="B80" s="18" t="s">
        <v>271</v>
      </c>
      <c r="C80" s="223" t="s">
        <v>236</v>
      </c>
      <c r="D80" s="223">
        <f>[30]Amortizaciones!D22</f>
        <v>0</v>
      </c>
      <c r="E80" s="138" t="s">
        <v>272</v>
      </c>
      <c r="F80" s="80" t="s">
        <v>273</v>
      </c>
      <c r="G80" s="81">
        <v>1332572</v>
      </c>
    </row>
    <row r="81" spans="2:7">
      <c r="B81" s="18" t="s">
        <v>274</v>
      </c>
      <c r="C81" s="223" t="s">
        <v>240</v>
      </c>
      <c r="D81" s="223">
        <f>[30]Amortizaciones!D23</f>
        <v>0</v>
      </c>
      <c r="E81" s="138" t="s">
        <v>275</v>
      </c>
      <c r="F81" s="78" t="s">
        <v>276</v>
      </c>
      <c r="G81" s="79">
        <v>1648493</v>
      </c>
    </row>
    <row r="82" spans="2:7">
      <c r="B82" s="18" t="s">
        <v>277</v>
      </c>
      <c r="C82" s="223" t="s">
        <v>244</v>
      </c>
      <c r="D82" s="223">
        <f>[30]Amortizaciones!D24</f>
        <v>0</v>
      </c>
      <c r="E82" s="138" t="s">
        <v>278</v>
      </c>
      <c r="F82" s="78" t="s">
        <v>279</v>
      </c>
      <c r="G82" s="79">
        <v>2259493</v>
      </c>
    </row>
    <row r="83" spans="2:7">
      <c r="B83" s="18" t="s">
        <v>280</v>
      </c>
      <c r="C83" s="223" t="s">
        <v>248</v>
      </c>
      <c r="D83" s="223">
        <f>[30]Amortizaciones!D25</f>
        <v>0</v>
      </c>
      <c r="E83" s="138" t="s">
        <v>281</v>
      </c>
      <c r="F83" s="78" t="s">
        <v>282</v>
      </c>
      <c r="G83" s="79">
        <v>776507</v>
      </c>
    </row>
    <row r="84" spans="2:7">
      <c r="B84" s="18" t="s">
        <v>283</v>
      </c>
      <c r="C84" s="223" t="s">
        <v>284</v>
      </c>
      <c r="D84" s="223">
        <v>0</v>
      </c>
      <c r="E84" s="138" t="s">
        <v>285</v>
      </c>
      <c r="F84" s="78" t="s">
        <v>286</v>
      </c>
      <c r="G84" s="79">
        <v>5205520</v>
      </c>
    </row>
    <row r="85" spans="2:7">
      <c r="B85" s="18" t="s">
        <v>287</v>
      </c>
      <c r="C85" s="223" t="s">
        <v>288</v>
      </c>
      <c r="D85" s="223">
        <f>[30]Amortizaciones!D27</f>
        <v>0</v>
      </c>
      <c r="E85" s="138" t="s">
        <v>289</v>
      </c>
      <c r="F85" s="78" t="s">
        <v>290</v>
      </c>
      <c r="G85" s="79">
        <v>1917612</v>
      </c>
    </row>
    <row r="86" spans="2:7" ht="13.5" customHeight="1">
      <c r="B86" s="18" t="s">
        <v>291</v>
      </c>
      <c r="C86" s="223" t="s">
        <v>292</v>
      </c>
      <c r="D86" s="223">
        <f>[30]Amortizaciones!D28</f>
        <v>0</v>
      </c>
      <c r="E86" s="138" t="s">
        <v>293</v>
      </c>
      <c r="F86" s="78" t="s">
        <v>294</v>
      </c>
      <c r="G86" s="79">
        <v>439618</v>
      </c>
    </row>
    <row r="87" spans="2:7" ht="13.5" customHeight="1">
      <c r="B87" s="18" t="s">
        <v>295</v>
      </c>
      <c r="C87" s="223" t="s">
        <v>296</v>
      </c>
      <c r="D87" s="223">
        <f>[30]Amortizaciones!D29</f>
        <v>125232</v>
      </c>
      <c r="E87" s="138" t="s">
        <v>297</v>
      </c>
      <c r="F87" s="78" t="s">
        <v>298</v>
      </c>
      <c r="G87" s="79">
        <v>789907</v>
      </c>
    </row>
    <row r="88" spans="2:7" ht="13.5" customHeight="1">
      <c r="B88" s="18" t="s">
        <v>299</v>
      </c>
      <c r="C88" s="223" t="s">
        <v>300</v>
      </c>
      <c r="D88" s="223">
        <f>[30]Amortizaciones!D30</f>
        <v>498935</v>
      </c>
      <c r="E88" s="138" t="s">
        <v>301</v>
      </c>
      <c r="F88" s="78" t="s">
        <v>302</v>
      </c>
      <c r="G88" s="79">
        <v>971924</v>
      </c>
    </row>
    <row r="89" spans="2:7">
      <c r="B89" s="18" t="s">
        <v>303</v>
      </c>
      <c r="C89" s="223" t="s">
        <v>212</v>
      </c>
      <c r="D89" s="223">
        <f>[30]Amortizaciones!D31</f>
        <v>0</v>
      </c>
      <c r="E89" s="138" t="s">
        <v>304</v>
      </c>
      <c r="F89" s="78" t="s">
        <v>305</v>
      </c>
      <c r="G89" s="79">
        <v>2493991</v>
      </c>
    </row>
    <row r="90" spans="2:7" ht="14.25" customHeight="1">
      <c r="B90" s="18" t="s">
        <v>306</v>
      </c>
      <c r="C90" s="223" t="s">
        <v>228</v>
      </c>
      <c r="D90" s="223">
        <f>[30]Amortizaciones!D32</f>
        <v>0</v>
      </c>
      <c r="E90" s="138" t="s">
        <v>307</v>
      </c>
      <c r="F90" s="78" t="s">
        <v>308</v>
      </c>
      <c r="G90" s="79">
        <v>17139681</v>
      </c>
    </row>
    <row r="91" spans="2:7" ht="14.25" customHeight="1">
      <c r="B91" s="18" t="s">
        <v>309</v>
      </c>
      <c r="C91" s="223" t="s">
        <v>310</v>
      </c>
      <c r="D91" s="223">
        <f>SUM(D80:D90)</f>
        <v>624167</v>
      </c>
      <c r="E91" s="225" t="s">
        <v>311</v>
      </c>
      <c r="F91" s="78" t="s">
        <v>312</v>
      </c>
      <c r="G91" s="79">
        <v>0</v>
      </c>
    </row>
    <row r="92" spans="2:7" ht="14.25" customHeight="1">
      <c r="B92" s="18"/>
      <c r="C92" s="226" t="s">
        <v>313</v>
      </c>
      <c r="D92" s="223">
        <f>D77+D91</f>
        <v>11115576</v>
      </c>
      <c r="E92" s="225" t="s">
        <v>314</v>
      </c>
      <c r="F92" s="78" t="s">
        <v>315</v>
      </c>
      <c r="G92" s="79">
        <v>0</v>
      </c>
    </row>
    <row r="93" spans="2:7">
      <c r="C93" s="116"/>
      <c r="D93" s="116"/>
      <c r="E93" s="225" t="s">
        <v>316</v>
      </c>
      <c r="F93" s="78" t="s">
        <v>317</v>
      </c>
      <c r="G93" s="79">
        <v>912448</v>
      </c>
    </row>
    <row r="94" spans="2:7">
      <c r="C94" s="116"/>
      <c r="D94" s="116"/>
      <c r="E94" s="225" t="s">
        <v>318</v>
      </c>
      <c r="F94" s="78" t="s">
        <v>319</v>
      </c>
      <c r="G94" s="84">
        <v>1336362</v>
      </c>
    </row>
    <row r="95" spans="2:7" ht="13.5" customHeight="1" thickBot="1">
      <c r="C95" s="116"/>
      <c r="D95" s="116"/>
      <c r="E95" s="138"/>
      <c r="F95" s="85" t="s">
        <v>320</v>
      </c>
      <c r="G95" s="86">
        <f>SUM(G80:G94)</f>
        <v>37224128</v>
      </c>
    </row>
    <row r="96" spans="2:7">
      <c r="C96" s="116"/>
      <c r="D96" s="116"/>
      <c r="E96" s="225" t="s">
        <v>321</v>
      </c>
      <c r="F96" s="80" t="s">
        <v>322</v>
      </c>
      <c r="G96" s="81">
        <v>686243</v>
      </c>
    </row>
    <row r="97" spans="2:7">
      <c r="C97" s="116"/>
      <c r="D97" s="116"/>
      <c r="E97" s="225" t="s">
        <v>323</v>
      </c>
      <c r="F97" s="78" t="s">
        <v>324</v>
      </c>
      <c r="G97" s="79">
        <v>2664922</v>
      </c>
    </row>
    <row r="98" spans="2:7">
      <c r="C98" s="116"/>
      <c r="D98" s="116"/>
      <c r="E98" s="225" t="s">
        <v>325</v>
      </c>
      <c r="F98" s="78" t="s">
        <v>326</v>
      </c>
      <c r="G98" s="79">
        <v>1713267</v>
      </c>
    </row>
    <row r="99" spans="2:7">
      <c r="C99" s="116"/>
      <c r="D99" s="116"/>
      <c r="E99" s="225" t="s">
        <v>327</v>
      </c>
      <c r="F99" s="78" t="s">
        <v>328</v>
      </c>
      <c r="G99" s="79">
        <v>2814601</v>
      </c>
    </row>
    <row r="100" spans="2:7">
      <c r="C100" s="116"/>
      <c r="D100" s="116"/>
      <c r="E100" s="225" t="s">
        <v>329</v>
      </c>
      <c r="F100" s="78" t="s">
        <v>330</v>
      </c>
      <c r="G100" s="84">
        <v>293394</v>
      </c>
    </row>
    <row r="101" spans="2:7" ht="12.75" customHeight="1" thickBot="1">
      <c r="C101" s="116"/>
      <c r="D101" s="116"/>
      <c r="E101" s="138"/>
      <c r="F101" s="85" t="s">
        <v>331</v>
      </c>
      <c r="G101" s="86">
        <f>SUM(G96:G100)</f>
        <v>8172427</v>
      </c>
    </row>
    <row r="102" spans="2:7" ht="12.75" customHeight="1" thickBot="1">
      <c r="C102" s="116"/>
      <c r="D102" s="116"/>
      <c r="E102" s="225"/>
      <c r="F102" s="110" t="s">
        <v>332</v>
      </c>
      <c r="G102" s="111">
        <f>[30]Amortizaciones!D19</f>
        <v>10491409</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824300005</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100406162</v>
      </c>
    </row>
    <row r="110" spans="2:7" ht="6.75" customHeight="1" thickBot="1">
      <c r="B110" s="5"/>
      <c r="C110" s="227"/>
      <c r="D110" s="227"/>
      <c r="E110" s="138"/>
      <c r="F110" s="116"/>
      <c r="G110" s="116"/>
    </row>
    <row r="111" spans="2:7" ht="15" customHeight="1" thickBot="1">
      <c r="C111" s="72" t="s">
        <v>269</v>
      </c>
      <c r="D111" s="118">
        <f>+[30]E.S.P.!D6</f>
        <v>2021</v>
      </c>
      <c r="E111" s="225"/>
      <c r="F111" s="72" t="s">
        <v>340</v>
      </c>
      <c r="G111" s="118">
        <f>+[30]E.S.P.!D6</f>
        <v>2021</v>
      </c>
    </row>
    <row r="112" spans="2:7" ht="13.7" customHeight="1">
      <c r="B112" s="5" t="s">
        <v>341</v>
      </c>
      <c r="C112" s="119" t="s">
        <v>342</v>
      </c>
      <c r="D112" s="120">
        <v>10560210</v>
      </c>
      <c r="E112" s="138" t="s">
        <v>343</v>
      </c>
      <c r="F112" s="119" t="s">
        <v>308</v>
      </c>
      <c r="G112" s="120">
        <v>0</v>
      </c>
    </row>
    <row r="113" spans="2:7" ht="13.7" customHeight="1">
      <c r="B113" s="5" t="s">
        <v>344</v>
      </c>
      <c r="C113" s="121" t="s">
        <v>345</v>
      </c>
      <c r="D113" s="122">
        <v>71938252</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441476</v>
      </c>
      <c r="E115" s="138" t="s">
        <v>353</v>
      </c>
      <c r="F115" s="121" t="s">
        <v>354</v>
      </c>
      <c r="G115" s="122">
        <v>0</v>
      </c>
    </row>
    <row r="116" spans="2:7" ht="13.7" customHeight="1">
      <c r="B116" s="5" t="s">
        <v>355</v>
      </c>
      <c r="C116" s="121" t="s">
        <v>356</v>
      </c>
      <c r="D116" s="122">
        <v>3003371</v>
      </c>
      <c r="E116" s="138" t="s">
        <v>357</v>
      </c>
      <c r="F116" s="121" t="s">
        <v>358</v>
      </c>
      <c r="G116" s="122">
        <v>0</v>
      </c>
    </row>
    <row r="117" spans="2:7" ht="13.7" customHeight="1">
      <c r="B117" s="5" t="s">
        <v>359</v>
      </c>
      <c r="C117" s="121" t="s">
        <v>360</v>
      </c>
      <c r="D117" s="122">
        <v>2210860</v>
      </c>
      <c r="E117" s="138" t="s">
        <v>361</v>
      </c>
      <c r="F117" s="121" t="s">
        <v>362</v>
      </c>
      <c r="G117" s="122">
        <v>582510</v>
      </c>
    </row>
    <row r="118" spans="2:7" ht="13.7" customHeight="1">
      <c r="B118" s="5" t="s">
        <v>363</v>
      </c>
      <c r="C118" s="121" t="s">
        <v>364</v>
      </c>
      <c r="D118" s="122">
        <v>0</v>
      </c>
      <c r="E118" s="138" t="s">
        <v>365</v>
      </c>
      <c r="F118" s="121" t="s">
        <v>366</v>
      </c>
      <c r="G118" s="122">
        <v>0</v>
      </c>
    </row>
    <row r="119" spans="2:7" ht="13.7" customHeight="1">
      <c r="B119" s="5" t="s">
        <v>367</v>
      </c>
      <c r="C119" s="121" t="s">
        <v>368</v>
      </c>
      <c r="D119" s="122">
        <v>2706614</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3383409</v>
      </c>
      <c r="E121" s="138" t="s">
        <v>377</v>
      </c>
      <c r="F121" s="121" t="s">
        <v>378</v>
      </c>
      <c r="G121" s="122">
        <v>540144</v>
      </c>
    </row>
    <row r="122" spans="2:7" ht="13.7" customHeight="1" thickBot="1">
      <c r="B122" s="5"/>
      <c r="C122" s="85" t="s">
        <v>379</v>
      </c>
      <c r="D122" s="94">
        <f>SUM(D112:D121)</f>
        <v>94244192</v>
      </c>
      <c r="E122" s="138" t="s">
        <v>380</v>
      </c>
      <c r="F122" s="78" t="s">
        <v>381</v>
      </c>
      <c r="G122" s="79">
        <v>41805</v>
      </c>
    </row>
    <row r="123" spans="2:7" ht="13.7" customHeight="1" thickBot="1">
      <c r="B123" s="5" t="s">
        <v>382</v>
      </c>
      <c r="C123" s="123" t="s">
        <v>308</v>
      </c>
      <c r="D123" s="120">
        <v>0</v>
      </c>
      <c r="E123" s="225"/>
      <c r="F123" s="85" t="s">
        <v>383</v>
      </c>
      <c r="G123" s="94">
        <f>SUM(G112:G122)</f>
        <v>1164459</v>
      </c>
    </row>
    <row r="124" spans="2:7" ht="13.7" customHeight="1">
      <c r="B124" s="5" t="s">
        <v>384</v>
      </c>
      <c r="C124" s="121" t="s">
        <v>312</v>
      </c>
      <c r="D124" s="122">
        <v>0</v>
      </c>
      <c r="E124" s="138" t="s">
        <v>385</v>
      </c>
      <c r="F124" s="121" t="s">
        <v>386</v>
      </c>
      <c r="G124" s="122">
        <v>0</v>
      </c>
    </row>
    <row r="125" spans="2:7" ht="13.7" customHeight="1">
      <c r="B125" s="5" t="s">
        <v>387</v>
      </c>
      <c r="C125" s="78" t="s">
        <v>388</v>
      </c>
      <c r="D125" s="122">
        <v>0</v>
      </c>
      <c r="E125" s="138" t="s">
        <v>389</v>
      </c>
      <c r="F125" s="121" t="s">
        <v>390</v>
      </c>
      <c r="G125" s="122">
        <v>0</v>
      </c>
    </row>
    <row r="126" spans="2:7" ht="13.7" customHeight="1" thickBot="1">
      <c r="B126" s="5"/>
      <c r="C126" s="85" t="s">
        <v>391</v>
      </c>
      <c r="D126" s="94">
        <f>SUM(D123:D125)</f>
        <v>0</v>
      </c>
      <c r="E126" s="138" t="s">
        <v>392</v>
      </c>
      <c r="F126" s="121" t="s">
        <v>393</v>
      </c>
      <c r="G126" s="122">
        <v>0</v>
      </c>
    </row>
    <row r="127" spans="2:7" ht="13.7" customHeight="1">
      <c r="B127" s="5" t="s">
        <v>394</v>
      </c>
      <c r="C127" s="119" t="s">
        <v>273</v>
      </c>
      <c r="D127" s="120">
        <v>4897388</v>
      </c>
      <c r="E127" s="138" t="s">
        <v>395</v>
      </c>
      <c r="F127" s="121" t="s">
        <v>396</v>
      </c>
      <c r="G127" s="122">
        <v>0</v>
      </c>
    </row>
    <row r="128" spans="2:7" ht="13.7" customHeight="1">
      <c r="B128" s="5" t="s">
        <v>397</v>
      </c>
      <c r="C128" s="121" t="s">
        <v>398</v>
      </c>
      <c r="D128" s="122">
        <v>296920</v>
      </c>
      <c r="E128" s="138" t="s">
        <v>399</v>
      </c>
      <c r="F128" s="121" t="s">
        <v>400</v>
      </c>
      <c r="G128" s="122">
        <v>0</v>
      </c>
    </row>
    <row r="129" spans="2:7" ht="13.7" customHeight="1">
      <c r="B129" s="5" t="s">
        <v>401</v>
      </c>
      <c r="C129" s="121" t="s">
        <v>276</v>
      </c>
      <c r="D129" s="122">
        <v>141956</v>
      </c>
      <c r="E129" s="138" t="s">
        <v>402</v>
      </c>
      <c r="F129" s="121" t="s">
        <v>403</v>
      </c>
      <c r="G129" s="122">
        <v>0</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0</v>
      </c>
    </row>
    <row r="133" spans="2:7" ht="13.7" customHeight="1">
      <c r="B133" s="5" t="s">
        <v>413</v>
      </c>
      <c r="C133" s="121" t="s">
        <v>294</v>
      </c>
      <c r="D133" s="122">
        <v>0</v>
      </c>
      <c r="E133" s="138" t="s">
        <v>414</v>
      </c>
      <c r="F133" s="121" t="s">
        <v>415</v>
      </c>
      <c r="G133" s="122">
        <v>1920937</v>
      </c>
    </row>
    <row r="134" spans="2:7" ht="13.7" customHeight="1">
      <c r="B134" s="5" t="s">
        <v>416</v>
      </c>
      <c r="C134" s="121" t="s">
        <v>417</v>
      </c>
      <c r="D134" s="122">
        <v>1419723</v>
      </c>
      <c r="E134" s="138" t="s">
        <v>418</v>
      </c>
      <c r="F134" s="121" t="s">
        <v>419</v>
      </c>
      <c r="G134" s="122">
        <v>0</v>
      </c>
    </row>
    <row r="135" spans="2:7" ht="13.7" customHeight="1">
      <c r="B135" s="5" t="s">
        <v>420</v>
      </c>
      <c r="C135" s="121" t="s">
        <v>421</v>
      </c>
      <c r="D135" s="122">
        <v>14092588</v>
      </c>
      <c r="E135" s="138" t="s">
        <v>422</v>
      </c>
      <c r="F135" s="121" t="s">
        <v>423</v>
      </c>
      <c r="G135" s="122">
        <v>0</v>
      </c>
    </row>
    <row r="136" spans="2:7" ht="13.7" customHeight="1">
      <c r="B136" s="5" t="s">
        <v>424</v>
      </c>
      <c r="C136" s="121" t="s">
        <v>317</v>
      </c>
      <c r="D136" s="122">
        <v>1542598</v>
      </c>
      <c r="E136" s="138" t="s">
        <v>425</v>
      </c>
      <c r="F136" s="121" t="s">
        <v>426</v>
      </c>
      <c r="G136" s="122">
        <v>78028</v>
      </c>
    </row>
    <row r="137" spans="2:7" ht="13.7" customHeight="1">
      <c r="B137" s="5" t="s">
        <v>427</v>
      </c>
      <c r="C137" s="78" t="s">
        <v>319</v>
      </c>
      <c r="D137" s="124">
        <v>833787</v>
      </c>
      <c r="E137" s="138" t="s">
        <v>428</v>
      </c>
      <c r="F137" s="121" t="s">
        <v>429</v>
      </c>
      <c r="G137" s="122">
        <v>4360461</v>
      </c>
    </row>
    <row r="138" spans="2:7" ht="13.7" customHeight="1" thickBot="1">
      <c r="B138" s="5"/>
      <c r="C138" s="85" t="s">
        <v>320</v>
      </c>
      <c r="D138" s="94">
        <f>SUM(D127:D137)</f>
        <v>23224960</v>
      </c>
      <c r="E138" s="138" t="s">
        <v>430</v>
      </c>
      <c r="F138" s="78" t="s">
        <v>431</v>
      </c>
      <c r="G138" s="79">
        <v>236809</v>
      </c>
    </row>
    <row r="139" spans="2:7" ht="13.7" customHeight="1" thickBot="1">
      <c r="B139" s="5" t="s">
        <v>432</v>
      </c>
      <c r="C139" s="119" t="s">
        <v>326</v>
      </c>
      <c r="D139" s="120">
        <v>0</v>
      </c>
      <c r="E139" s="228"/>
      <c r="F139" s="85" t="s">
        <v>433</v>
      </c>
      <c r="G139" s="94">
        <f>SUM(G124:G138)</f>
        <v>6596235</v>
      </c>
    </row>
    <row r="140" spans="2:7" ht="13.7" customHeight="1" thickBot="1">
      <c r="B140" s="5" t="s">
        <v>434</v>
      </c>
      <c r="C140" s="121" t="s">
        <v>328</v>
      </c>
      <c r="D140" s="122">
        <v>224845</v>
      </c>
      <c r="E140" s="228"/>
      <c r="F140" s="110" t="s">
        <v>435</v>
      </c>
      <c r="G140" s="126">
        <f>G123-G139</f>
        <v>-5431776</v>
      </c>
    </row>
    <row r="141" spans="2:7" ht="13.7" customHeight="1">
      <c r="B141" s="5" t="s">
        <v>436</v>
      </c>
      <c r="C141" s="78" t="s">
        <v>330</v>
      </c>
      <c r="D141" s="124">
        <v>8373</v>
      </c>
      <c r="E141" s="229"/>
      <c r="F141" s="116"/>
      <c r="G141" s="116"/>
    </row>
    <row r="142" spans="2:7" ht="13.7" customHeight="1" thickBot="1">
      <c r="B142" s="5"/>
      <c r="C142" s="85" t="s">
        <v>331</v>
      </c>
      <c r="D142" s="94">
        <f>SUM(D139:D141)</f>
        <v>233218</v>
      </c>
      <c r="E142" s="229"/>
      <c r="F142" s="116"/>
      <c r="G142" s="116"/>
    </row>
    <row r="143" spans="2:7" ht="13.5" customHeight="1" thickBot="1">
      <c r="B143" s="5"/>
      <c r="C143" s="110" t="s">
        <v>332</v>
      </c>
      <c r="D143" s="126">
        <f>[30]Amortizaciones!D33</f>
        <v>624167</v>
      </c>
      <c r="E143" s="138"/>
      <c r="F143" s="72" t="s">
        <v>437</v>
      </c>
      <c r="G143" s="118">
        <f>+[30]E.S.P.!D6</f>
        <v>2021</v>
      </c>
    </row>
    <row r="144" spans="2:7" ht="13.7" customHeight="1">
      <c r="B144" s="5" t="s">
        <v>438</v>
      </c>
      <c r="C144" s="119" t="s">
        <v>439</v>
      </c>
      <c r="D144" s="120">
        <v>364476</v>
      </c>
      <c r="E144" s="138" t="s">
        <v>440</v>
      </c>
      <c r="F144" s="119" t="s">
        <v>441</v>
      </c>
      <c r="G144" s="120">
        <v>9360</v>
      </c>
    </row>
    <row r="145" spans="2:7" ht="13.7" customHeight="1">
      <c r="B145" s="5" t="s">
        <v>442</v>
      </c>
      <c r="C145" s="121" t="s">
        <v>443</v>
      </c>
      <c r="D145" s="122">
        <v>0</v>
      </c>
      <c r="E145" s="138" t="s">
        <v>444</v>
      </c>
      <c r="F145" s="121" t="s">
        <v>445</v>
      </c>
      <c r="G145" s="122">
        <v>766357</v>
      </c>
    </row>
    <row r="146" spans="2:7" ht="13.7" customHeight="1">
      <c r="B146" s="5" t="s">
        <v>446</v>
      </c>
      <c r="C146" s="128" t="s">
        <v>447</v>
      </c>
      <c r="D146" s="122">
        <v>0</v>
      </c>
      <c r="E146" s="138" t="s">
        <v>448</v>
      </c>
      <c r="F146" s="121" t="s">
        <v>449</v>
      </c>
      <c r="G146" s="122">
        <v>2081129</v>
      </c>
    </row>
    <row r="147" spans="2:7" ht="13.7" customHeight="1">
      <c r="B147" s="5" t="s">
        <v>450</v>
      </c>
      <c r="C147" s="78" t="s">
        <v>451</v>
      </c>
      <c r="D147" s="124">
        <v>13572</v>
      </c>
      <c r="E147" s="138" t="s">
        <v>452</v>
      </c>
      <c r="F147" s="121" t="s">
        <v>453</v>
      </c>
      <c r="G147" s="122"/>
    </row>
    <row r="148" spans="2:7" ht="13.7" customHeight="1" thickBot="1">
      <c r="B148" s="5"/>
      <c r="C148" s="85" t="s">
        <v>518</v>
      </c>
      <c r="D148" s="94">
        <f>SUM(D144:D147)</f>
        <v>378048</v>
      </c>
      <c r="E148" s="138" t="s">
        <v>454</v>
      </c>
      <c r="F148" s="121" t="s">
        <v>455</v>
      </c>
      <c r="G148" s="122"/>
    </row>
    <row r="149" spans="2:7" ht="13.7" customHeight="1">
      <c r="B149" s="5" t="s">
        <v>456</v>
      </c>
      <c r="C149" s="119" t="s">
        <v>457</v>
      </c>
      <c r="D149" s="120">
        <v>0</v>
      </c>
      <c r="E149" s="138" t="s">
        <v>458</v>
      </c>
      <c r="F149" s="121" t="s">
        <v>459</v>
      </c>
      <c r="G149" s="122"/>
    </row>
    <row r="150" spans="2:7" ht="13.7" customHeight="1">
      <c r="B150" s="5" t="s">
        <v>460</v>
      </c>
      <c r="C150" s="121" t="s">
        <v>461</v>
      </c>
      <c r="D150" s="122">
        <v>322346</v>
      </c>
      <c r="E150" s="138" t="s">
        <v>462</v>
      </c>
      <c r="F150" s="121" t="s">
        <v>463</v>
      </c>
      <c r="G150" s="122"/>
    </row>
    <row r="151" spans="2:7" ht="13.7" customHeight="1">
      <c r="B151" s="5" t="s">
        <v>464</v>
      </c>
      <c r="C151" s="78" t="s">
        <v>465</v>
      </c>
      <c r="D151" s="124">
        <v>12003</v>
      </c>
      <c r="E151" s="138" t="s">
        <v>466</v>
      </c>
      <c r="F151" s="121" t="s">
        <v>467</v>
      </c>
      <c r="G151" s="122">
        <v>9721656</v>
      </c>
    </row>
    <row r="152" spans="2:7" ht="13.7" customHeight="1" thickBot="1">
      <c r="B152" s="5"/>
      <c r="C152" s="85" t="s">
        <v>516</v>
      </c>
      <c r="D152" s="94">
        <f>SUM(D149:D151)</f>
        <v>334349</v>
      </c>
      <c r="E152" s="138" t="s">
        <v>469</v>
      </c>
      <c r="F152" s="121" t="s">
        <v>470</v>
      </c>
      <c r="G152" s="122">
        <v>123349</v>
      </c>
    </row>
    <row r="153" spans="2:7" ht="15" customHeight="1" thickBot="1">
      <c r="B153" s="5"/>
      <c r="C153" s="110" t="s">
        <v>471</v>
      </c>
      <c r="D153" s="129">
        <f>D122+D126+D138+D142+D143+D148+D152</f>
        <v>119038934</v>
      </c>
      <c r="E153" s="138" t="s">
        <v>472</v>
      </c>
      <c r="F153" s="78" t="s">
        <v>473</v>
      </c>
      <c r="G153" s="79">
        <v>82438</v>
      </c>
    </row>
    <row r="154" spans="2:7" ht="13.7" customHeight="1" thickBot="1">
      <c r="B154" s="5"/>
      <c r="C154" s="116"/>
      <c r="D154" s="116"/>
      <c r="E154" s="138"/>
      <c r="F154" s="85" t="s">
        <v>474</v>
      </c>
      <c r="G154" s="94">
        <f>SUM(G144:G153)</f>
        <v>12784289</v>
      </c>
    </row>
    <row r="155" spans="2:7" ht="13.5" customHeight="1" thickBot="1">
      <c r="B155" s="5"/>
      <c r="C155" s="72" t="s">
        <v>475</v>
      </c>
      <c r="D155" s="103">
        <f>G109-D153</f>
        <v>-18632772</v>
      </c>
      <c r="E155" s="138" t="s">
        <v>476</v>
      </c>
      <c r="F155" s="119" t="s">
        <v>477</v>
      </c>
      <c r="G155" s="120">
        <v>3095733</v>
      </c>
    </row>
    <row r="156" spans="2:7" ht="13.7" customHeight="1">
      <c r="C156" s="116"/>
      <c r="D156" s="116"/>
      <c r="E156" s="138" t="s">
        <v>478</v>
      </c>
      <c r="F156" s="121" t="s">
        <v>479</v>
      </c>
      <c r="G156" s="122">
        <v>7089779</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98121</v>
      </c>
    </row>
    <row r="160" spans="2:7" ht="13.7" customHeight="1">
      <c r="C160" s="116"/>
      <c r="D160" s="116"/>
      <c r="E160" s="138" t="s">
        <v>486</v>
      </c>
      <c r="F160" s="121" t="s">
        <v>487</v>
      </c>
      <c r="G160" s="122">
        <v>48995</v>
      </c>
    </row>
    <row r="161" spans="3:7" ht="13.7" customHeight="1">
      <c r="C161" s="116"/>
      <c r="D161" s="116"/>
      <c r="E161" s="138" t="s">
        <v>488</v>
      </c>
      <c r="F161" s="121" t="s">
        <v>489</v>
      </c>
      <c r="G161" s="122">
        <v>57857</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v>291517</v>
      </c>
    </row>
    <row r="167" spans="3:7" ht="13.7" customHeight="1">
      <c r="C167" s="116"/>
      <c r="D167" s="116"/>
      <c r="E167" s="138" t="s">
        <v>500</v>
      </c>
      <c r="F167" s="78" t="s">
        <v>501</v>
      </c>
      <c r="G167" s="79">
        <v>133764</v>
      </c>
    </row>
    <row r="168" spans="3:7" ht="13.7" customHeight="1" thickBot="1">
      <c r="C168" s="116"/>
      <c r="D168" s="116"/>
      <c r="E168" s="138"/>
      <c r="F168" s="85" t="s">
        <v>502</v>
      </c>
      <c r="G168" s="94">
        <f>SUM(G155:G167)</f>
        <v>10815766</v>
      </c>
    </row>
    <row r="169" spans="3:7" ht="13.7" customHeight="1" thickBot="1">
      <c r="C169" s="116"/>
      <c r="D169" s="116"/>
      <c r="E169" s="138"/>
      <c r="F169" s="110" t="s">
        <v>503</v>
      </c>
      <c r="G169" s="126">
        <f>G154-G168</f>
        <v>1968523</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-22096025</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-22096025</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183" priority="2" stopIfTrue="1" operator="greaterThan">
      <formula>50</formula>
    </cfRule>
    <cfRule type="cellIs" dxfId="182" priority="11" stopIfTrue="1" operator="equal">
      <formula>0</formula>
    </cfRule>
  </conditionalFormatting>
  <conditionalFormatting sqref="D7:D61">
    <cfRule type="cellIs" dxfId="181" priority="9" stopIfTrue="1" operator="between">
      <formula>-0.1</formula>
      <formula>-50</formula>
    </cfRule>
    <cfRule type="cellIs" dxfId="180" priority="10" stopIfTrue="1" operator="between">
      <formula>0.1</formula>
      <formula>50</formula>
    </cfRule>
  </conditionalFormatting>
  <conditionalFormatting sqref="G152:G181 G7:G150">
    <cfRule type="cellIs" dxfId="179" priority="7" stopIfTrue="1" operator="between">
      <formula>-0.1</formula>
      <formula>-50</formula>
    </cfRule>
    <cfRule type="cellIs" dxfId="178" priority="8" stopIfTrue="1" operator="between">
      <formula>0.1</formula>
      <formula>50</formula>
    </cfRule>
  </conditionalFormatting>
  <conditionalFormatting sqref="D111:D155">
    <cfRule type="cellIs" dxfId="177" priority="5" stopIfTrue="1" operator="between">
      <formula>-0.1</formula>
      <formula>-50</formula>
    </cfRule>
    <cfRule type="cellIs" dxfId="176" priority="6" stopIfTrue="1" operator="between">
      <formula>0.1</formula>
      <formula>50</formula>
    </cfRule>
  </conditionalFormatting>
  <conditionalFormatting sqref="G165">
    <cfRule type="expression" dxfId="175" priority="4" stopIfTrue="1">
      <formula>AND($G$165&gt;0,$G$151&gt;0)</formula>
    </cfRule>
  </conditionalFormatting>
  <conditionalFormatting sqref="G151">
    <cfRule type="expression" dxfId="17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E41" sqref="E41"/>
    </sheetView>
  </sheetViews>
  <sheetFormatPr baseColWidth="10" defaultColWidth="0" defaultRowHeight="15.75" zeroHeight="1"/>
  <cols>
    <col min="1" max="1" width="2.42578125" style="1" customWidth="1"/>
    <col min="2" max="2" width="14.28515625" style="6" hidden="1" customWidth="1"/>
    <col min="3" max="3" width="56.85546875" style="19" customWidth="1"/>
    <col min="4" max="4" width="21.42578125" style="19" customWidth="1"/>
    <col min="5" max="5" width="3.85546875" style="13" customWidth="1"/>
    <col min="6" max="6" width="57.28515625" style="19" customWidth="1"/>
    <col min="7" max="7" width="20.85546875" style="19" customWidth="1"/>
    <col min="8" max="8" width="3.7109375" style="4" customWidth="1"/>
    <col min="9" max="16384" width="0" style="4" hidden="1"/>
  </cols>
  <sheetData>
    <row r="1" spans="1:9">
      <c r="B1" s="2"/>
      <c r="C1" s="255" t="s">
        <v>0</v>
      </c>
      <c r="D1" s="258"/>
      <c r="E1" s="253" t="str">
        <f>[31]Presentacion!C3</f>
        <v>COMERO - IAMPP</v>
      </c>
      <c r="F1" s="253"/>
      <c r="G1" s="136"/>
      <c r="H1" s="3"/>
    </row>
    <row r="2" spans="1:9">
      <c r="B2" s="5"/>
      <c r="C2" s="255" t="s">
        <v>1</v>
      </c>
      <c r="D2" s="258"/>
      <c r="E2" s="253" t="str">
        <f>[31]Presentacion!C4</f>
        <v>Rocha</v>
      </c>
      <c r="F2" s="253"/>
      <c r="G2" s="136"/>
      <c r="H2" s="3"/>
    </row>
    <row r="3" spans="1:9">
      <c r="B3" s="5"/>
      <c r="C3" s="255" t="s">
        <v>2</v>
      </c>
      <c r="D3" s="262"/>
      <c r="E3" s="254" t="s">
        <v>3</v>
      </c>
      <c r="F3" s="254"/>
      <c r="G3" s="136"/>
      <c r="H3" s="3"/>
    </row>
    <row r="4" spans="1:9" ht="11.25" customHeight="1" thickBot="1">
      <c r="C4" s="68"/>
      <c r="D4" s="7"/>
      <c r="E4" s="8"/>
      <c r="F4" s="9"/>
      <c r="G4" s="10"/>
    </row>
    <row r="5" spans="1:9" ht="18.75" customHeight="1" thickBot="1">
      <c r="B5" s="11"/>
      <c r="C5" s="72" t="s">
        <v>4</v>
      </c>
      <c r="D5" s="73" t="s">
        <v>5</v>
      </c>
      <c r="E5" s="137"/>
      <c r="F5" s="72" t="s">
        <v>6</v>
      </c>
      <c r="G5" s="73" t="s">
        <v>5</v>
      </c>
      <c r="I5" s="12"/>
    </row>
    <row r="6" spans="1:9" ht="12.75" customHeight="1" thickBot="1">
      <c r="B6" s="11"/>
      <c r="C6" s="75" t="s">
        <v>7</v>
      </c>
      <c r="D6" s="230">
        <f>+[31]E.S.P.!D6</f>
        <v>2021</v>
      </c>
      <c r="E6" s="138"/>
      <c r="F6" s="75" t="s">
        <v>8</v>
      </c>
      <c r="G6" s="230">
        <f>+D6</f>
        <v>2021</v>
      </c>
      <c r="H6" s="12"/>
    </row>
    <row r="7" spans="1:9">
      <c r="B7" s="5" t="s">
        <v>9</v>
      </c>
      <c r="C7" s="78" t="s">
        <v>10</v>
      </c>
      <c r="D7" s="79">
        <v>53922205</v>
      </c>
      <c r="E7" s="138" t="s">
        <v>11</v>
      </c>
      <c r="F7" s="80" t="s">
        <v>12</v>
      </c>
      <c r="G7" s="81">
        <v>13178614</v>
      </c>
    </row>
    <row r="8" spans="1:9">
      <c r="B8" s="5" t="s">
        <v>13</v>
      </c>
      <c r="C8" s="78" t="s">
        <v>14</v>
      </c>
      <c r="D8" s="79">
        <v>79935608</v>
      </c>
      <c r="E8" s="138" t="s">
        <v>15</v>
      </c>
      <c r="F8" s="78" t="s">
        <v>16</v>
      </c>
      <c r="G8" s="82">
        <v>151904805</v>
      </c>
    </row>
    <row r="9" spans="1:9">
      <c r="B9" s="5" t="s">
        <v>17</v>
      </c>
      <c r="C9" s="78" t="s">
        <v>18</v>
      </c>
      <c r="D9" s="79">
        <v>1290309484</v>
      </c>
      <c r="E9" s="138" t="s">
        <v>19</v>
      </c>
      <c r="F9" s="78" t="s">
        <v>20</v>
      </c>
      <c r="G9" s="79">
        <v>0</v>
      </c>
    </row>
    <row r="10" spans="1:9">
      <c r="B10" s="5" t="s">
        <v>21</v>
      </c>
      <c r="C10" s="78" t="s">
        <v>22</v>
      </c>
      <c r="D10" s="79">
        <v>127613853</v>
      </c>
      <c r="E10" s="138" t="s">
        <v>23</v>
      </c>
      <c r="F10" s="78" t="s">
        <v>24</v>
      </c>
      <c r="G10" s="79">
        <v>350686278</v>
      </c>
    </row>
    <row r="11" spans="1:9">
      <c r="B11" s="5" t="s">
        <v>25</v>
      </c>
      <c r="C11" s="78" t="s">
        <v>26</v>
      </c>
      <c r="D11" s="79">
        <v>31959847</v>
      </c>
      <c r="E11" s="138" t="s">
        <v>27</v>
      </c>
      <c r="F11" s="78" t="s">
        <v>28</v>
      </c>
      <c r="G11" s="79">
        <v>0</v>
      </c>
    </row>
    <row r="12" spans="1:9">
      <c r="B12" s="5" t="s">
        <v>29</v>
      </c>
      <c r="C12" s="78" t="s">
        <v>30</v>
      </c>
      <c r="D12" s="79">
        <v>43073751</v>
      </c>
      <c r="E12" s="138" t="s">
        <v>31</v>
      </c>
      <c r="F12" s="78" t="s">
        <v>32</v>
      </c>
      <c r="G12" s="79">
        <v>196609859</v>
      </c>
    </row>
    <row r="13" spans="1:9">
      <c r="B13" s="5" t="s">
        <v>33</v>
      </c>
      <c r="C13" s="78" t="s">
        <v>34</v>
      </c>
      <c r="D13" s="79">
        <v>1538887</v>
      </c>
      <c r="E13" s="138" t="s">
        <v>35</v>
      </c>
      <c r="F13" s="78" t="s">
        <v>36</v>
      </c>
      <c r="G13" s="79">
        <v>0</v>
      </c>
    </row>
    <row r="14" spans="1:9">
      <c r="A14" s="14"/>
      <c r="B14" s="5" t="s">
        <v>37</v>
      </c>
      <c r="C14" s="78" t="s">
        <v>38</v>
      </c>
      <c r="D14" s="79">
        <v>0</v>
      </c>
      <c r="E14" s="138" t="s">
        <v>39</v>
      </c>
      <c r="F14" s="78" t="s">
        <v>40</v>
      </c>
      <c r="G14" s="79">
        <v>189215083</v>
      </c>
    </row>
    <row r="15" spans="1:9">
      <c r="B15" s="5" t="s">
        <v>41</v>
      </c>
      <c r="C15" s="83" t="s">
        <v>42</v>
      </c>
      <c r="D15" s="79">
        <v>0</v>
      </c>
      <c r="E15" s="138" t="s">
        <v>43</v>
      </c>
      <c r="F15" s="78" t="s">
        <v>44</v>
      </c>
      <c r="G15" s="79">
        <v>81449928</v>
      </c>
    </row>
    <row r="16" spans="1:9">
      <c r="B16" s="5" t="s">
        <v>45</v>
      </c>
      <c r="C16" s="78" t="s">
        <v>46</v>
      </c>
      <c r="D16" s="79">
        <v>0</v>
      </c>
      <c r="E16" s="138" t="s">
        <v>47</v>
      </c>
      <c r="F16" s="78" t="s">
        <v>48</v>
      </c>
      <c r="G16" s="79">
        <v>112316349</v>
      </c>
    </row>
    <row r="17" spans="1:7">
      <c r="B17" s="5" t="s">
        <v>49</v>
      </c>
      <c r="C17" s="78" t="s">
        <v>50</v>
      </c>
      <c r="D17" s="79">
        <v>0</v>
      </c>
      <c r="E17" s="138" t="s">
        <v>51</v>
      </c>
      <c r="F17" s="78" t="s">
        <v>52</v>
      </c>
      <c r="G17" s="79">
        <v>0</v>
      </c>
    </row>
    <row r="18" spans="1:7">
      <c r="A18" s="14"/>
      <c r="B18" s="5" t="s">
        <v>53</v>
      </c>
      <c r="C18" s="78" t="s">
        <v>54</v>
      </c>
      <c r="D18" s="79">
        <v>53056</v>
      </c>
      <c r="E18" s="138" t="s">
        <v>55</v>
      </c>
      <c r="F18" s="78" t="s">
        <v>56</v>
      </c>
      <c r="G18" s="84">
        <v>37693417</v>
      </c>
    </row>
    <row r="19" spans="1:7" ht="16.5" thickBot="1">
      <c r="A19" s="14"/>
      <c r="B19" s="5" t="s">
        <v>57</v>
      </c>
      <c r="C19" s="78" t="s">
        <v>58</v>
      </c>
      <c r="D19" s="79">
        <v>56661513</v>
      </c>
      <c r="E19" s="138"/>
      <c r="F19" s="85" t="s">
        <v>59</v>
      </c>
      <c r="G19" s="86">
        <f>SUM(G7:G18)</f>
        <v>1133054333</v>
      </c>
    </row>
    <row r="20" spans="1:7" ht="16.5" thickBot="1">
      <c r="B20" s="5"/>
      <c r="C20" s="85" t="s">
        <v>60</v>
      </c>
      <c r="D20" s="86">
        <f>SUM(D7:D19)</f>
        <v>1685068204</v>
      </c>
      <c r="E20" s="138" t="s">
        <v>61</v>
      </c>
      <c r="F20" s="80" t="s">
        <v>62</v>
      </c>
      <c r="G20" s="81">
        <v>563419</v>
      </c>
    </row>
    <row r="21" spans="1:7">
      <c r="B21" s="5"/>
      <c r="C21" s="87" t="s">
        <v>63</v>
      </c>
      <c r="D21" s="88">
        <f>SUM(D22:D28)</f>
        <v>18656045</v>
      </c>
      <c r="E21" s="138" t="s">
        <v>64</v>
      </c>
      <c r="F21" s="78" t="s">
        <v>65</v>
      </c>
      <c r="G21" s="79">
        <v>28129668</v>
      </c>
    </row>
    <row r="22" spans="1:7">
      <c r="B22" s="5" t="s">
        <v>66</v>
      </c>
      <c r="C22" s="78" t="s">
        <v>67</v>
      </c>
      <c r="D22" s="79">
        <v>7678994</v>
      </c>
      <c r="E22" s="138" t="s">
        <v>68</v>
      </c>
      <c r="F22" s="78" t="s">
        <v>69</v>
      </c>
      <c r="G22" s="79">
        <v>8280673</v>
      </c>
    </row>
    <row r="23" spans="1:7">
      <c r="B23" s="5" t="s">
        <v>70</v>
      </c>
      <c r="C23" s="78" t="s">
        <v>71</v>
      </c>
      <c r="D23" s="79">
        <v>4931725</v>
      </c>
      <c r="E23" s="138" t="s">
        <v>72</v>
      </c>
      <c r="F23" s="78" t="s">
        <v>73</v>
      </c>
      <c r="G23" s="79">
        <v>16027597</v>
      </c>
    </row>
    <row r="24" spans="1:7">
      <c r="B24" s="5" t="s">
        <v>74</v>
      </c>
      <c r="C24" s="78" t="s">
        <v>75</v>
      </c>
      <c r="D24" s="79">
        <v>3272427</v>
      </c>
      <c r="E24" s="138" t="s">
        <v>76</v>
      </c>
      <c r="F24" s="78" t="s">
        <v>77</v>
      </c>
      <c r="G24" s="79">
        <v>6568413</v>
      </c>
    </row>
    <row r="25" spans="1:7">
      <c r="B25" s="5" t="s">
        <v>78</v>
      </c>
      <c r="C25" s="78" t="s">
        <v>79</v>
      </c>
      <c r="D25" s="79">
        <v>11191</v>
      </c>
      <c r="E25" s="138" t="s">
        <v>80</v>
      </c>
      <c r="F25" s="78" t="s">
        <v>81</v>
      </c>
      <c r="G25" s="79">
        <v>5411027</v>
      </c>
    </row>
    <row r="26" spans="1:7">
      <c r="B26" s="5" t="s">
        <v>82</v>
      </c>
      <c r="C26" s="78" t="s">
        <v>83</v>
      </c>
      <c r="D26" s="79">
        <v>542656</v>
      </c>
      <c r="E26" s="138" t="s">
        <v>84</v>
      </c>
      <c r="F26" s="78" t="s">
        <v>85</v>
      </c>
      <c r="G26" s="84">
        <v>2033290</v>
      </c>
    </row>
    <row r="27" spans="1:7" ht="13.5" customHeight="1" thickBot="1">
      <c r="B27" s="5" t="s">
        <v>86</v>
      </c>
      <c r="C27" s="78" t="s">
        <v>87</v>
      </c>
      <c r="D27" s="79">
        <f>1471834+46694+122362</f>
        <v>1640890</v>
      </c>
      <c r="E27" s="138"/>
      <c r="F27" s="85" t="s">
        <v>88</v>
      </c>
      <c r="G27" s="86">
        <f>SUM(G20:G26)</f>
        <v>67014087</v>
      </c>
    </row>
    <row r="28" spans="1:7">
      <c r="B28" s="5" t="s">
        <v>89</v>
      </c>
      <c r="C28" s="78" t="s">
        <v>90</v>
      </c>
      <c r="D28" s="79">
        <v>578162</v>
      </c>
      <c r="E28" s="138" t="s">
        <v>91</v>
      </c>
      <c r="F28" s="80" t="s">
        <v>92</v>
      </c>
      <c r="G28" s="81">
        <v>47863736</v>
      </c>
    </row>
    <row r="29" spans="1:7">
      <c r="B29" s="5"/>
      <c r="C29" s="89" t="s">
        <v>93</v>
      </c>
      <c r="D29" s="88">
        <f>SUM(D30:D34)</f>
        <v>139275565</v>
      </c>
      <c r="E29" s="138" t="s">
        <v>94</v>
      </c>
      <c r="F29" s="78" t="s">
        <v>95</v>
      </c>
      <c r="G29" s="79">
        <v>20360818</v>
      </c>
    </row>
    <row r="30" spans="1:7">
      <c r="B30" s="5" t="s">
        <v>96</v>
      </c>
      <c r="C30" s="78" t="s">
        <v>97</v>
      </c>
      <c r="D30" s="79">
        <v>111212359</v>
      </c>
      <c r="E30" s="138" t="s">
        <v>98</v>
      </c>
      <c r="F30" s="78" t="s">
        <v>99</v>
      </c>
      <c r="G30" s="79">
        <v>7328746</v>
      </c>
    </row>
    <row r="31" spans="1:7">
      <c r="B31" s="5" t="s">
        <v>100</v>
      </c>
      <c r="C31" s="78" t="s">
        <v>101</v>
      </c>
      <c r="D31" s="79">
        <v>12177788</v>
      </c>
      <c r="E31" s="138" t="s">
        <v>102</v>
      </c>
      <c r="F31" s="78" t="s">
        <v>103</v>
      </c>
      <c r="G31" s="84">
        <v>2930056</v>
      </c>
    </row>
    <row r="32" spans="1:7" ht="16.5" thickBot="1">
      <c r="B32" s="5" t="s">
        <v>104</v>
      </c>
      <c r="C32" s="78" t="s">
        <v>105</v>
      </c>
      <c r="D32" s="79">
        <v>8732184</v>
      </c>
      <c r="E32" s="138"/>
      <c r="F32" s="85" t="s">
        <v>106</v>
      </c>
      <c r="G32" s="86">
        <f>SUM(G28:G31)</f>
        <v>78483356</v>
      </c>
    </row>
    <row r="33" spans="2:7">
      <c r="B33" s="5" t="s">
        <v>107</v>
      </c>
      <c r="C33" s="78" t="s">
        <v>108</v>
      </c>
      <c r="D33" s="79">
        <v>2644331</v>
      </c>
      <c r="E33" s="138"/>
      <c r="F33" s="89" t="s">
        <v>109</v>
      </c>
      <c r="G33" s="88">
        <f>SUM(G34:G39)</f>
        <v>105515799</v>
      </c>
    </row>
    <row r="34" spans="2:7">
      <c r="B34" s="5" t="s">
        <v>110</v>
      </c>
      <c r="C34" s="78" t="s">
        <v>111</v>
      </c>
      <c r="D34" s="79">
        <v>4508903</v>
      </c>
      <c r="E34" s="138" t="s">
        <v>112</v>
      </c>
      <c r="F34" s="78" t="s">
        <v>113</v>
      </c>
      <c r="G34" s="79">
        <v>0</v>
      </c>
    </row>
    <row r="35" spans="2:7" ht="16.5" thickBot="1">
      <c r="B35" s="5"/>
      <c r="C35" s="85" t="s">
        <v>114</v>
      </c>
      <c r="D35" s="86">
        <f>+D21+D29</f>
        <v>157931610</v>
      </c>
      <c r="E35" s="138" t="s">
        <v>115</v>
      </c>
      <c r="F35" s="78" t="s">
        <v>116</v>
      </c>
      <c r="G35" s="79">
        <v>0</v>
      </c>
    </row>
    <row r="36" spans="2:7">
      <c r="B36" s="5" t="s">
        <v>117</v>
      </c>
      <c r="C36" s="78" t="s">
        <v>118</v>
      </c>
      <c r="D36" s="79">
        <v>2095351</v>
      </c>
      <c r="E36" s="138" t="s">
        <v>119</v>
      </c>
      <c r="F36" s="78" t="s">
        <v>517</v>
      </c>
      <c r="G36" s="79">
        <v>0</v>
      </c>
    </row>
    <row r="37" spans="2:7">
      <c r="B37" s="5" t="s">
        <v>120</v>
      </c>
      <c r="C37" s="78" t="s">
        <v>121</v>
      </c>
      <c r="D37" s="79">
        <f>10756084+5087</f>
        <v>10761171</v>
      </c>
      <c r="E37" s="138" t="s">
        <v>122</v>
      </c>
      <c r="F37" s="78" t="s">
        <v>123</v>
      </c>
      <c r="G37" s="79">
        <v>0</v>
      </c>
    </row>
    <row r="38" spans="2:7">
      <c r="B38" s="5" t="s">
        <v>124</v>
      </c>
      <c r="C38" s="78" t="s">
        <v>125</v>
      </c>
      <c r="D38" s="79">
        <v>0</v>
      </c>
      <c r="E38" s="138" t="s">
        <v>126</v>
      </c>
      <c r="F38" s="78" t="s">
        <v>127</v>
      </c>
      <c r="G38" s="79">
        <v>0</v>
      </c>
    </row>
    <row r="39" spans="2:7">
      <c r="B39" s="5" t="s">
        <v>128</v>
      </c>
      <c r="C39" s="78" t="s">
        <v>129</v>
      </c>
      <c r="D39" s="79">
        <v>0</v>
      </c>
      <c r="E39" s="138" t="s">
        <v>130</v>
      </c>
      <c r="F39" s="78" t="s">
        <v>131</v>
      </c>
      <c r="G39" s="79">
        <f>105494363+21436</f>
        <v>105515799</v>
      </c>
    </row>
    <row r="40" spans="2:7">
      <c r="B40" s="5" t="s">
        <v>132</v>
      </c>
      <c r="C40" s="78" t="s">
        <v>133</v>
      </c>
      <c r="D40" s="79">
        <v>0</v>
      </c>
      <c r="E40" s="138"/>
      <c r="F40" s="90" t="s">
        <v>134</v>
      </c>
      <c r="G40" s="91">
        <f>SUM(G41:G46)</f>
        <v>27123683</v>
      </c>
    </row>
    <row r="41" spans="2:7">
      <c r="B41" s="5" t="s">
        <v>135</v>
      </c>
      <c r="C41" s="78" t="s">
        <v>136</v>
      </c>
      <c r="D41" s="79">
        <v>61698485</v>
      </c>
      <c r="E41" s="138" t="s">
        <v>137</v>
      </c>
      <c r="F41" s="78" t="s">
        <v>138</v>
      </c>
      <c r="G41" s="79">
        <v>0</v>
      </c>
    </row>
    <row r="42" spans="2:7">
      <c r="B42" s="5" t="s">
        <v>139</v>
      </c>
      <c r="C42" s="78" t="s">
        <v>140</v>
      </c>
      <c r="D42" s="79">
        <v>34476895</v>
      </c>
      <c r="E42" s="138" t="s">
        <v>141</v>
      </c>
      <c r="F42" s="78" t="s">
        <v>142</v>
      </c>
      <c r="G42" s="79">
        <v>0</v>
      </c>
    </row>
    <row r="43" spans="2:7">
      <c r="B43" s="5" t="s">
        <v>143</v>
      </c>
      <c r="C43" s="78" t="s">
        <v>144</v>
      </c>
      <c r="D43" s="79">
        <v>0</v>
      </c>
      <c r="E43" s="138" t="s">
        <v>145</v>
      </c>
      <c r="F43" s="78" t="s">
        <v>146</v>
      </c>
      <c r="G43" s="79">
        <v>0</v>
      </c>
    </row>
    <row r="44" spans="2:7">
      <c r="B44" s="5" t="s">
        <v>147</v>
      </c>
      <c r="C44" s="78" t="s">
        <v>148</v>
      </c>
      <c r="D44" s="79">
        <v>0</v>
      </c>
      <c r="E44" s="138" t="s">
        <v>149</v>
      </c>
      <c r="F44" s="78" t="s">
        <v>150</v>
      </c>
      <c r="G44" s="79">
        <v>0</v>
      </c>
    </row>
    <row r="45" spans="2:7">
      <c r="B45" s="5" t="s">
        <v>151</v>
      </c>
      <c r="C45" s="78" t="s">
        <v>152</v>
      </c>
      <c r="D45" s="79">
        <v>24211500</v>
      </c>
      <c r="E45" s="138" t="s">
        <v>153</v>
      </c>
      <c r="F45" s="78" t="s">
        <v>154</v>
      </c>
      <c r="G45" s="79">
        <v>0</v>
      </c>
    </row>
    <row r="46" spans="2:7">
      <c r="B46" s="5" t="s">
        <v>155</v>
      </c>
      <c r="C46" s="78" t="s">
        <v>156</v>
      </c>
      <c r="D46" s="79">
        <v>4755799</v>
      </c>
      <c r="E46" s="138" t="s">
        <v>157</v>
      </c>
      <c r="F46" s="78" t="s">
        <v>158</v>
      </c>
      <c r="G46" s="79">
        <v>27123683</v>
      </c>
    </row>
    <row r="47" spans="2:7" ht="16.5" thickBot="1">
      <c r="B47" s="5"/>
      <c r="C47" s="85" t="s">
        <v>159</v>
      </c>
      <c r="D47" s="86">
        <f>SUM(D36:D46)</f>
        <v>137999201</v>
      </c>
      <c r="E47" s="138" t="s">
        <v>160</v>
      </c>
      <c r="F47" s="78" t="s">
        <v>161</v>
      </c>
      <c r="G47" s="84">
        <v>3468281</v>
      </c>
    </row>
    <row r="48" spans="2:7" ht="16.5" thickBot="1">
      <c r="B48" s="5"/>
      <c r="C48" s="92" t="s">
        <v>162</v>
      </c>
      <c r="D48" s="93"/>
      <c r="E48" s="138"/>
      <c r="F48" s="85" t="s">
        <v>163</v>
      </c>
      <c r="G48" s="94">
        <f>+G33+G40+G47</f>
        <v>136107763</v>
      </c>
    </row>
    <row r="49" spans="2:7">
      <c r="B49" s="5" t="s">
        <v>164</v>
      </c>
      <c r="C49" s="95" t="s">
        <v>165</v>
      </c>
      <c r="D49" s="96">
        <v>0</v>
      </c>
      <c r="E49" s="138" t="s">
        <v>166</v>
      </c>
      <c r="F49" s="80" t="s">
        <v>167</v>
      </c>
      <c r="G49" s="81">
        <v>25184297</v>
      </c>
    </row>
    <row r="50" spans="2:7">
      <c r="B50" s="5" t="s">
        <v>168</v>
      </c>
      <c r="C50" s="78" t="s">
        <v>162</v>
      </c>
      <c r="D50" s="79">
        <v>7374994</v>
      </c>
      <c r="E50" s="138" t="s">
        <v>169</v>
      </c>
      <c r="F50" s="78" t="s">
        <v>170</v>
      </c>
      <c r="G50" s="79">
        <v>68604352</v>
      </c>
    </row>
    <row r="51" spans="2:7">
      <c r="B51" s="5" t="s">
        <v>171</v>
      </c>
      <c r="C51" s="78" t="s">
        <v>172</v>
      </c>
      <c r="D51" s="84">
        <v>0</v>
      </c>
      <c r="E51" s="138" t="s">
        <v>173</v>
      </c>
      <c r="F51" s="78" t="s">
        <v>174</v>
      </c>
      <c r="G51" s="79">
        <v>1576250</v>
      </c>
    </row>
    <row r="52" spans="2:7" ht="16.5" thickBot="1">
      <c r="B52" s="11"/>
      <c r="C52" s="85" t="s">
        <v>175</v>
      </c>
      <c r="D52" s="86">
        <f>SUM(D49:D51)</f>
        <v>7374994</v>
      </c>
      <c r="E52" s="138" t="s">
        <v>176</v>
      </c>
      <c r="F52" s="78" t="s">
        <v>177</v>
      </c>
      <c r="G52" s="79">
        <v>7306223</v>
      </c>
    </row>
    <row r="53" spans="2:7" ht="16.5" thickBot="1">
      <c r="B53" s="5"/>
      <c r="C53" s="75" t="s">
        <v>178</v>
      </c>
      <c r="D53" s="97">
        <f>D20+D35+D47+D52</f>
        <v>1988374009</v>
      </c>
      <c r="E53" s="138" t="s">
        <v>179</v>
      </c>
      <c r="F53" s="78" t="s">
        <v>180</v>
      </c>
      <c r="G53" s="79">
        <f>7148796+4116377</f>
        <v>11265173</v>
      </c>
    </row>
    <row r="54" spans="2:7">
      <c r="C54" s="98"/>
      <c r="D54" s="99"/>
      <c r="E54" s="138" t="s">
        <v>181</v>
      </c>
      <c r="F54" s="78" t="s">
        <v>182</v>
      </c>
      <c r="G54" s="79">
        <v>1768868</v>
      </c>
    </row>
    <row r="55" spans="2:7">
      <c r="C55" s="100" t="s">
        <v>183</v>
      </c>
      <c r="D55" s="101"/>
      <c r="E55" s="138" t="s">
        <v>184</v>
      </c>
      <c r="F55" s="78" t="s">
        <v>185</v>
      </c>
      <c r="G55" s="79">
        <v>2029443</v>
      </c>
    </row>
    <row r="56" spans="2:7">
      <c r="B56" s="5" t="s">
        <v>186</v>
      </c>
      <c r="C56" s="102" t="s">
        <v>187</v>
      </c>
      <c r="D56" s="79">
        <f>-13909431+1576701</f>
        <v>-12332730</v>
      </c>
      <c r="E56" s="138" t="s">
        <v>188</v>
      </c>
      <c r="F56" s="78" t="s">
        <v>189</v>
      </c>
      <c r="G56" s="84">
        <v>4669880</v>
      </c>
    </row>
    <row r="57" spans="2:7" ht="14.25" customHeight="1" thickBot="1">
      <c r="B57" s="5" t="s">
        <v>190</v>
      </c>
      <c r="C57" s="102" t="s">
        <v>191</v>
      </c>
      <c r="D57" s="79">
        <v>-1116389</v>
      </c>
      <c r="E57" s="138"/>
      <c r="F57" s="85" t="s">
        <v>192</v>
      </c>
      <c r="G57" s="86">
        <f>SUM(G49:G56)</f>
        <v>122404486</v>
      </c>
    </row>
    <row r="58" spans="2:7">
      <c r="B58" s="5" t="s">
        <v>193</v>
      </c>
      <c r="C58" s="102" t="s">
        <v>194</v>
      </c>
      <c r="D58" s="79"/>
      <c r="E58" s="138" t="s">
        <v>195</v>
      </c>
      <c r="F58" s="80" t="s">
        <v>196</v>
      </c>
      <c r="G58" s="81">
        <v>467388</v>
      </c>
    </row>
    <row r="59" spans="2:7">
      <c r="B59" s="5" t="s">
        <v>197</v>
      </c>
      <c r="C59" s="78" t="s">
        <v>198</v>
      </c>
      <c r="D59" s="84">
        <v>-460312</v>
      </c>
      <c r="E59" s="138" t="s">
        <v>199</v>
      </c>
      <c r="F59" s="78" t="s">
        <v>200</v>
      </c>
      <c r="G59" s="79">
        <f>15812531</f>
        <v>15812531</v>
      </c>
    </row>
    <row r="60" spans="2:7" ht="16.5" thickBot="1">
      <c r="B60" s="5"/>
      <c r="C60" s="85" t="s">
        <v>201</v>
      </c>
      <c r="D60" s="86">
        <f>SUM(D56:D59)</f>
        <v>-13909431</v>
      </c>
      <c r="E60" s="138" t="s">
        <v>202</v>
      </c>
      <c r="F60" s="78" t="s">
        <v>203</v>
      </c>
      <c r="G60" s="79">
        <v>3387068</v>
      </c>
    </row>
    <row r="61" spans="2:7" ht="16.5" thickBot="1">
      <c r="B61" s="15"/>
      <c r="C61" s="72" t="s">
        <v>204</v>
      </c>
      <c r="D61" s="103">
        <f>D53+D60</f>
        <v>1974464578</v>
      </c>
      <c r="E61" s="138" t="s">
        <v>205</v>
      </c>
      <c r="F61" s="78" t="s">
        <v>206</v>
      </c>
      <c r="G61" s="79">
        <f>7829998+9580221</f>
        <v>17410219</v>
      </c>
    </row>
    <row r="62" spans="2:7">
      <c r="B62" s="16"/>
      <c r="C62" s="116"/>
      <c r="D62" s="116"/>
      <c r="E62" s="138" t="s">
        <v>207</v>
      </c>
      <c r="F62" s="78" t="s">
        <v>208</v>
      </c>
      <c r="G62" s="79">
        <v>0</v>
      </c>
    </row>
    <row r="63" spans="2:7">
      <c r="B63" s="17"/>
      <c r="C63" s="222" t="s">
        <v>8</v>
      </c>
      <c r="D63" s="222"/>
      <c r="E63" s="138" t="s">
        <v>209</v>
      </c>
      <c r="F63" s="78" t="s">
        <v>210</v>
      </c>
      <c r="G63" s="79">
        <v>10646907</v>
      </c>
    </row>
    <row r="64" spans="2:7">
      <c r="B64" s="18" t="s">
        <v>211</v>
      </c>
      <c r="C64" s="223" t="s">
        <v>212</v>
      </c>
      <c r="D64" s="223">
        <f>[31]Amortizaciones!D6</f>
        <v>13342433</v>
      </c>
      <c r="E64" s="138" t="s">
        <v>213</v>
      </c>
      <c r="F64" s="78" t="s">
        <v>214</v>
      </c>
      <c r="G64" s="79">
        <v>2809169</v>
      </c>
    </row>
    <row r="65" spans="2:7">
      <c r="B65" s="18" t="s">
        <v>215</v>
      </c>
      <c r="C65" s="223" t="s">
        <v>216</v>
      </c>
      <c r="D65" s="223">
        <f>[31]Amortizaciones!D7</f>
        <v>0</v>
      </c>
      <c r="E65" s="138" t="s">
        <v>217</v>
      </c>
      <c r="F65" s="78" t="s">
        <v>218</v>
      </c>
      <c r="G65" s="79">
        <v>357989</v>
      </c>
    </row>
    <row r="66" spans="2:7">
      <c r="B66" s="18" t="s">
        <v>219</v>
      </c>
      <c r="C66" s="223" t="s">
        <v>220</v>
      </c>
      <c r="D66" s="223">
        <f>[31]Amortizaciones!D8</f>
        <v>6881209</v>
      </c>
      <c r="E66" s="138" t="s">
        <v>221</v>
      </c>
      <c r="F66" s="78" t="s">
        <v>222</v>
      </c>
      <c r="G66" s="79">
        <v>6826355</v>
      </c>
    </row>
    <row r="67" spans="2:7">
      <c r="B67" s="18" t="s">
        <v>223</v>
      </c>
      <c r="C67" s="223" t="s">
        <v>224</v>
      </c>
      <c r="D67" s="223">
        <f>[31]Amortizaciones!D9</f>
        <v>442992</v>
      </c>
      <c r="E67" s="138" t="s">
        <v>225</v>
      </c>
      <c r="F67" s="78" t="s">
        <v>226</v>
      </c>
      <c r="G67" s="79">
        <v>138922</v>
      </c>
    </row>
    <row r="68" spans="2:7">
      <c r="B68" s="18" t="s">
        <v>227</v>
      </c>
      <c r="C68" s="223" t="s">
        <v>228</v>
      </c>
      <c r="D68" s="223">
        <f>[31]Amortizaciones!D10</f>
        <v>1578091</v>
      </c>
      <c r="E68" s="138" t="s">
        <v>229</v>
      </c>
      <c r="F68" s="78" t="s">
        <v>230</v>
      </c>
      <c r="G68" s="79">
        <v>0</v>
      </c>
    </row>
    <row r="69" spans="2:7">
      <c r="B69" s="18" t="s">
        <v>231</v>
      </c>
      <c r="C69" s="223" t="s">
        <v>232</v>
      </c>
      <c r="D69" s="223">
        <f>[31]Amortizaciones!D11</f>
        <v>467896</v>
      </c>
      <c r="E69" s="138" t="s">
        <v>233</v>
      </c>
      <c r="F69" s="78" t="s">
        <v>234</v>
      </c>
      <c r="G69" s="79">
        <v>3855514</v>
      </c>
    </row>
    <row r="70" spans="2:7">
      <c r="B70" s="18" t="s">
        <v>235</v>
      </c>
      <c r="C70" s="223" t="s">
        <v>236</v>
      </c>
      <c r="D70" s="223">
        <f>[31]Amortizaciones!D12</f>
        <v>972349</v>
      </c>
      <c r="E70" s="138" t="s">
        <v>237</v>
      </c>
      <c r="F70" s="78" t="s">
        <v>238</v>
      </c>
      <c r="G70" s="79">
        <v>0</v>
      </c>
    </row>
    <row r="71" spans="2:7">
      <c r="B71" s="18" t="s">
        <v>239</v>
      </c>
      <c r="C71" s="223" t="s">
        <v>240</v>
      </c>
      <c r="D71" s="223">
        <f>[31]Amortizaciones!D13</f>
        <v>1977707</v>
      </c>
      <c r="E71" s="138" t="s">
        <v>241</v>
      </c>
      <c r="F71" s="78" t="s">
        <v>242</v>
      </c>
      <c r="G71" s="79">
        <v>0</v>
      </c>
    </row>
    <row r="72" spans="2:7">
      <c r="B72" s="18" t="s">
        <v>243</v>
      </c>
      <c r="C72" s="223" t="s">
        <v>244</v>
      </c>
      <c r="D72" s="223">
        <f>[31]Amortizaciones!D14</f>
        <v>3312536</v>
      </c>
      <c r="E72" s="138" t="s">
        <v>245</v>
      </c>
      <c r="F72" s="78" t="s">
        <v>246</v>
      </c>
      <c r="G72" s="79">
        <v>7594325</v>
      </c>
    </row>
    <row r="73" spans="2:7">
      <c r="B73" s="18" t="s">
        <v>247</v>
      </c>
      <c r="C73" s="223" t="s">
        <v>248</v>
      </c>
      <c r="D73" s="223">
        <f>[31]Amortizaciones!D15</f>
        <v>622949</v>
      </c>
      <c r="E73" s="138" t="s">
        <v>249</v>
      </c>
      <c r="F73" s="78" t="s">
        <v>250</v>
      </c>
      <c r="G73" s="79">
        <v>0</v>
      </c>
    </row>
    <row r="74" spans="2:7">
      <c r="B74" s="18" t="s">
        <v>251</v>
      </c>
      <c r="C74" s="223" t="s">
        <v>252</v>
      </c>
      <c r="D74" s="223">
        <f>[31]Amortizaciones!D16</f>
        <v>582175</v>
      </c>
      <c r="E74" s="138" t="s">
        <v>253</v>
      </c>
      <c r="F74" s="78" t="s">
        <v>254</v>
      </c>
      <c r="G74" s="79">
        <v>0</v>
      </c>
    </row>
    <row r="75" spans="2:7">
      <c r="B75" s="18" t="s">
        <v>255</v>
      </c>
      <c r="C75" s="223" t="s">
        <v>256</v>
      </c>
      <c r="D75" s="223">
        <f>[31]Amortizaciones!D17</f>
        <v>0</v>
      </c>
      <c r="E75" s="138" t="s">
        <v>257</v>
      </c>
      <c r="F75" s="78" t="s">
        <v>258</v>
      </c>
      <c r="G75" s="79">
        <v>8916094</v>
      </c>
    </row>
    <row r="76" spans="2:7">
      <c r="B76" s="18" t="s">
        <v>259</v>
      </c>
      <c r="C76" s="223" t="s">
        <v>260</v>
      </c>
      <c r="D76" s="223">
        <f>[31]Amortizaciones!D18</f>
        <v>0</v>
      </c>
      <c r="E76" s="138" t="s">
        <v>261</v>
      </c>
      <c r="F76" s="78" t="s">
        <v>262</v>
      </c>
      <c r="G76" s="79">
        <f>9544608+2418077</f>
        <v>11962685</v>
      </c>
    </row>
    <row r="77" spans="2:7">
      <c r="B77" s="18" t="s">
        <v>263</v>
      </c>
      <c r="C77" s="223" t="s">
        <v>264</v>
      </c>
      <c r="D77" s="223">
        <f>SUM(D64:D76)</f>
        <v>30180337</v>
      </c>
      <c r="E77" s="138" t="s">
        <v>265</v>
      </c>
      <c r="F77" s="78" t="s">
        <v>266</v>
      </c>
      <c r="G77" s="79">
        <f>4614024+1048294</f>
        <v>5662318</v>
      </c>
    </row>
    <row r="78" spans="2:7">
      <c r="B78" s="18"/>
      <c r="C78" s="223"/>
      <c r="D78" s="223"/>
      <c r="E78" s="138" t="s">
        <v>267</v>
      </c>
      <c r="F78" s="78" t="s">
        <v>268</v>
      </c>
      <c r="G78" s="84">
        <v>2757854</v>
      </c>
    </row>
    <row r="79" spans="2:7" ht="16.5" thickBot="1">
      <c r="B79" s="18"/>
      <c r="C79" s="222" t="s">
        <v>269</v>
      </c>
      <c r="D79" s="224"/>
      <c r="E79" s="138"/>
      <c r="F79" s="85" t="s">
        <v>270</v>
      </c>
      <c r="G79" s="86">
        <f>SUM(G58:G78)</f>
        <v>98605338</v>
      </c>
    </row>
    <row r="80" spans="2:7">
      <c r="B80" s="18" t="s">
        <v>271</v>
      </c>
      <c r="C80" s="223" t="s">
        <v>236</v>
      </c>
      <c r="D80" s="223">
        <f>[31]Amortizaciones!D22</f>
        <v>0</v>
      </c>
      <c r="E80" s="138" t="s">
        <v>272</v>
      </c>
      <c r="F80" s="80" t="s">
        <v>273</v>
      </c>
      <c r="G80" s="81">
        <v>5665850</v>
      </c>
    </row>
    <row r="81" spans="2:7">
      <c r="B81" s="18" t="s">
        <v>274</v>
      </c>
      <c r="C81" s="223" t="s">
        <v>240</v>
      </c>
      <c r="D81" s="223">
        <f>[31]Amortizaciones!D23</f>
        <v>0</v>
      </c>
      <c r="E81" s="138" t="s">
        <v>275</v>
      </c>
      <c r="F81" s="78" t="s">
        <v>276</v>
      </c>
      <c r="G81" s="79">
        <v>4301014</v>
      </c>
    </row>
    <row r="82" spans="2:7">
      <c r="B82" s="18" t="s">
        <v>277</v>
      </c>
      <c r="C82" s="223" t="s">
        <v>244</v>
      </c>
      <c r="D82" s="223">
        <f>[31]Amortizaciones!D24</f>
        <v>0</v>
      </c>
      <c r="E82" s="138" t="s">
        <v>278</v>
      </c>
      <c r="F82" s="78" t="s">
        <v>279</v>
      </c>
      <c r="G82" s="79">
        <f>4881135+283631</f>
        <v>5164766</v>
      </c>
    </row>
    <row r="83" spans="2:7">
      <c r="B83" s="18" t="s">
        <v>280</v>
      </c>
      <c r="C83" s="223" t="s">
        <v>248</v>
      </c>
      <c r="D83" s="223">
        <f>[31]Amortizaciones!D25</f>
        <v>0</v>
      </c>
      <c r="E83" s="138" t="s">
        <v>281</v>
      </c>
      <c r="F83" s="78" t="s">
        <v>282</v>
      </c>
      <c r="G83" s="79">
        <v>7474451</v>
      </c>
    </row>
    <row r="84" spans="2:7">
      <c r="B84" s="18" t="s">
        <v>283</v>
      </c>
      <c r="C84" s="223" t="s">
        <v>284</v>
      </c>
      <c r="D84" s="223">
        <v>0</v>
      </c>
      <c r="E84" s="138" t="s">
        <v>285</v>
      </c>
      <c r="F84" s="78" t="s">
        <v>286</v>
      </c>
      <c r="G84" s="79">
        <v>9512512</v>
      </c>
    </row>
    <row r="85" spans="2:7">
      <c r="B85" s="18" t="s">
        <v>287</v>
      </c>
      <c r="C85" s="223" t="s">
        <v>288</v>
      </c>
      <c r="D85" s="223">
        <f>[31]Amortizaciones!D27</f>
        <v>0</v>
      </c>
      <c r="E85" s="138" t="s">
        <v>289</v>
      </c>
      <c r="F85" s="78" t="s">
        <v>290</v>
      </c>
      <c r="G85" s="79">
        <v>1876620</v>
      </c>
    </row>
    <row r="86" spans="2:7" ht="13.5" customHeight="1">
      <c r="B86" s="18" t="s">
        <v>291</v>
      </c>
      <c r="C86" s="223" t="s">
        <v>292</v>
      </c>
      <c r="D86" s="223">
        <f>[31]Amortizaciones!D28</f>
        <v>0</v>
      </c>
      <c r="E86" s="138" t="s">
        <v>293</v>
      </c>
      <c r="F86" s="78" t="s">
        <v>294</v>
      </c>
      <c r="G86" s="79">
        <v>821181</v>
      </c>
    </row>
    <row r="87" spans="2:7" ht="13.5" customHeight="1">
      <c r="B87" s="18" t="s">
        <v>295</v>
      </c>
      <c r="C87" s="223" t="s">
        <v>296</v>
      </c>
      <c r="D87" s="223">
        <f>[31]Amortizaciones!D29</f>
        <v>0</v>
      </c>
      <c r="E87" s="138" t="s">
        <v>297</v>
      </c>
      <c r="F87" s="78" t="s">
        <v>298</v>
      </c>
      <c r="G87" s="79">
        <v>5900</v>
      </c>
    </row>
    <row r="88" spans="2:7" ht="13.5" customHeight="1">
      <c r="B88" s="18" t="s">
        <v>299</v>
      </c>
      <c r="C88" s="223" t="s">
        <v>300</v>
      </c>
      <c r="D88" s="223">
        <f>[31]Amortizaciones!D30</f>
        <v>0</v>
      </c>
      <c r="E88" s="138" t="s">
        <v>301</v>
      </c>
      <c r="F88" s="78" t="s">
        <v>302</v>
      </c>
      <c r="G88" s="79">
        <v>3734518</v>
      </c>
    </row>
    <row r="89" spans="2:7">
      <c r="B89" s="18" t="s">
        <v>303</v>
      </c>
      <c r="C89" s="223" t="s">
        <v>212</v>
      </c>
      <c r="D89" s="223">
        <f>[31]Amortizaciones!D31</f>
        <v>0</v>
      </c>
      <c r="E89" s="138" t="s">
        <v>304</v>
      </c>
      <c r="F89" s="78" t="s">
        <v>305</v>
      </c>
      <c r="G89" s="79">
        <v>14139532</v>
      </c>
    </row>
    <row r="90" spans="2:7" ht="14.25" customHeight="1">
      <c r="B90" s="18" t="s">
        <v>306</v>
      </c>
      <c r="C90" s="223" t="s">
        <v>228</v>
      </c>
      <c r="D90" s="223">
        <f>[31]Amortizaciones!D32</f>
        <v>0</v>
      </c>
      <c r="E90" s="138" t="s">
        <v>307</v>
      </c>
      <c r="F90" s="78" t="s">
        <v>308</v>
      </c>
      <c r="G90" s="79">
        <v>2353925</v>
      </c>
    </row>
    <row r="91" spans="2:7" ht="14.25" customHeight="1">
      <c r="B91" s="18" t="s">
        <v>309</v>
      </c>
      <c r="C91" s="223" t="s">
        <v>310</v>
      </c>
      <c r="D91" s="223">
        <f>SUM(D80:D90)</f>
        <v>0</v>
      </c>
      <c r="E91" s="225" t="s">
        <v>311</v>
      </c>
      <c r="F91" s="78" t="s">
        <v>312</v>
      </c>
      <c r="G91" s="79">
        <v>2676797</v>
      </c>
    </row>
    <row r="92" spans="2:7" ht="14.25" customHeight="1">
      <c r="B92" s="18"/>
      <c r="C92" s="226" t="s">
        <v>313</v>
      </c>
      <c r="D92" s="223">
        <f>D77+D91</f>
        <v>30180337</v>
      </c>
      <c r="E92" s="225" t="s">
        <v>314</v>
      </c>
      <c r="F92" s="78" t="s">
        <v>315</v>
      </c>
      <c r="G92" s="79">
        <v>0</v>
      </c>
    </row>
    <row r="93" spans="2:7">
      <c r="C93" s="116"/>
      <c r="D93" s="116"/>
      <c r="E93" s="225" t="s">
        <v>316</v>
      </c>
      <c r="F93" s="78" t="s">
        <v>317</v>
      </c>
      <c r="G93" s="79">
        <v>1238079</v>
      </c>
    </row>
    <row r="94" spans="2:7">
      <c r="C94" s="116"/>
      <c r="D94" s="116"/>
      <c r="E94" s="225" t="s">
        <v>318</v>
      </c>
      <c r="F94" s="78" t="s">
        <v>319</v>
      </c>
      <c r="G94" s="84">
        <v>2606819</v>
      </c>
    </row>
    <row r="95" spans="2:7" ht="13.5" customHeight="1" thickBot="1">
      <c r="C95" s="116"/>
      <c r="D95" s="116"/>
      <c r="E95" s="138"/>
      <c r="F95" s="85" t="s">
        <v>320</v>
      </c>
      <c r="G95" s="86">
        <f>SUM(G80:G94)</f>
        <v>61571964</v>
      </c>
    </row>
    <row r="96" spans="2:7">
      <c r="C96" s="116"/>
      <c r="D96" s="116"/>
      <c r="E96" s="225" t="s">
        <v>321</v>
      </c>
      <c r="F96" s="80" t="s">
        <v>322</v>
      </c>
      <c r="G96" s="81">
        <v>5662498</v>
      </c>
    </row>
    <row r="97" spans="2:7">
      <c r="C97" s="116"/>
      <c r="D97" s="116"/>
      <c r="E97" s="225" t="s">
        <v>323</v>
      </c>
      <c r="F97" s="78" t="s">
        <v>324</v>
      </c>
      <c r="G97" s="79">
        <v>2438191</v>
      </c>
    </row>
    <row r="98" spans="2:7">
      <c r="C98" s="116"/>
      <c r="D98" s="116"/>
      <c r="E98" s="225" t="s">
        <v>325</v>
      </c>
      <c r="F98" s="78" t="s">
        <v>326</v>
      </c>
      <c r="G98" s="79">
        <v>1638123</v>
      </c>
    </row>
    <row r="99" spans="2:7">
      <c r="C99" s="116"/>
      <c r="D99" s="116"/>
      <c r="E99" s="225" t="s">
        <v>327</v>
      </c>
      <c r="F99" s="78" t="s">
        <v>328</v>
      </c>
      <c r="G99" s="79">
        <v>2795623</v>
      </c>
    </row>
    <row r="100" spans="2:7">
      <c r="C100" s="116"/>
      <c r="D100" s="116"/>
      <c r="E100" s="225" t="s">
        <v>329</v>
      </c>
      <c r="F100" s="78" t="s">
        <v>330</v>
      </c>
      <c r="G100" s="84">
        <v>313751</v>
      </c>
    </row>
    <row r="101" spans="2:7" ht="12.75" customHeight="1" thickBot="1">
      <c r="C101" s="116"/>
      <c r="D101" s="116"/>
      <c r="E101" s="138"/>
      <c r="F101" s="85" t="s">
        <v>331</v>
      </c>
      <c r="G101" s="86">
        <f>SUM(G96:G100)</f>
        <v>12848186</v>
      </c>
    </row>
    <row r="102" spans="2:7" ht="12.75" customHeight="1" thickBot="1">
      <c r="C102" s="116"/>
      <c r="D102" s="116"/>
      <c r="E102" s="225"/>
      <c r="F102" s="110" t="s">
        <v>332</v>
      </c>
      <c r="G102" s="111">
        <f>[31]Amortizaciones!D19</f>
        <v>30180337</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1740269850</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234194728</v>
      </c>
    </row>
    <row r="110" spans="2:7" ht="6.75" customHeight="1" thickBot="1">
      <c r="B110" s="5"/>
      <c r="C110" s="227"/>
      <c r="D110" s="227"/>
      <c r="E110" s="138"/>
      <c r="F110" s="116"/>
      <c r="G110" s="116"/>
    </row>
    <row r="111" spans="2:7" ht="15" customHeight="1" thickBot="1">
      <c r="C111" s="72" t="s">
        <v>269</v>
      </c>
      <c r="D111" s="118">
        <f>+[31]E.S.P.!D6</f>
        <v>2021</v>
      </c>
      <c r="E111" s="225"/>
      <c r="F111" s="72" t="s">
        <v>340</v>
      </c>
      <c r="G111" s="118">
        <f>+[31]E.S.P.!D6</f>
        <v>2021</v>
      </c>
    </row>
    <row r="112" spans="2:7" ht="13.7" customHeight="1">
      <c r="B112" s="5" t="s">
        <v>341</v>
      </c>
      <c r="C112" s="119" t="s">
        <v>342</v>
      </c>
      <c r="D112" s="120">
        <v>15812514</v>
      </c>
      <c r="E112" s="138" t="s">
        <v>343</v>
      </c>
      <c r="F112" s="119" t="s">
        <v>308</v>
      </c>
      <c r="G112" s="120">
        <v>0</v>
      </c>
    </row>
    <row r="113" spans="2:7" ht="13.7" customHeight="1">
      <c r="B113" s="5" t="s">
        <v>344</v>
      </c>
      <c r="C113" s="121" t="s">
        <v>345</v>
      </c>
      <c r="D113" s="122">
        <v>76140396</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689118</v>
      </c>
      <c r="E115" s="138" t="s">
        <v>353</v>
      </c>
      <c r="F115" s="121" t="s">
        <v>354</v>
      </c>
      <c r="G115" s="122">
        <v>0</v>
      </c>
    </row>
    <row r="116" spans="2:7" ht="13.7" customHeight="1">
      <c r="B116" s="5" t="s">
        <v>355</v>
      </c>
      <c r="C116" s="121" t="s">
        <v>356</v>
      </c>
      <c r="D116" s="122">
        <v>3318242</v>
      </c>
      <c r="E116" s="138" t="s">
        <v>357</v>
      </c>
      <c r="F116" s="121" t="s">
        <v>358</v>
      </c>
      <c r="G116" s="122">
        <v>533560</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2319012</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3458705</v>
      </c>
      <c r="E121" s="138" t="s">
        <v>377</v>
      </c>
      <c r="F121" s="121" t="s">
        <v>378</v>
      </c>
      <c r="G121" s="122">
        <v>2898551</v>
      </c>
    </row>
    <row r="122" spans="2:7" ht="13.7" customHeight="1" thickBot="1">
      <c r="B122" s="5"/>
      <c r="C122" s="85" t="s">
        <v>379</v>
      </c>
      <c r="D122" s="94">
        <f>SUM(D112:D121)</f>
        <v>101737987</v>
      </c>
      <c r="E122" s="138" t="s">
        <v>380</v>
      </c>
      <c r="F122" s="78" t="s">
        <v>381</v>
      </c>
      <c r="G122" s="79">
        <v>81126</v>
      </c>
    </row>
    <row r="123" spans="2:7" ht="13.7" customHeight="1" thickBot="1">
      <c r="B123" s="5" t="s">
        <v>382</v>
      </c>
      <c r="C123" s="123" t="s">
        <v>308</v>
      </c>
      <c r="D123" s="120">
        <v>0</v>
      </c>
      <c r="E123" s="225"/>
      <c r="F123" s="85" t="s">
        <v>383</v>
      </c>
      <c r="G123" s="94">
        <f>SUM(G112:G122)</f>
        <v>3513237</v>
      </c>
    </row>
    <row r="124" spans="2:7" ht="13.7" customHeight="1">
      <c r="B124" s="5" t="s">
        <v>384</v>
      </c>
      <c r="C124" s="121" t="s">
        <v>312</v>
      </c>
      <c r="D124" s="122">
        <v>0</v>
      </c>
      <c r="E124" s="138" t="s">
        <v>385</v>
      </c>
      <c r="F124" s="121" t="s">
        <v>386</v>
      </c>
      <c r="G124" s="122">
        <v>1725123</v>
      </c>
    </row>
    <row r="125" spans="2:7" ht="13.7" customHeight="1">
      <c r="B125" s="5" t="s">
        <v>387</v>
      </c>
      <c r="C125" s="78" t="s">
        <v>388</v>
      </c>
      <c r="D125" s="122">
        <v>0</v>
      </c>
      <c r="E125" s="138" t="s">
        <v>389</v>
      </c>
      <c r="F125" s="121" t="s">
        <v>390</v>
      </c>
      <c r="G125" s="122">
        <v>731726</v>
      </c>
    </row>
    <row r="126" spans="2:7" ht="13.7" customHeight="1" thickBot="1">
      <c r="B126" s="5"/>
      <c r="C126" s="85" t="s">
        <v>391</v>
      </c>
      <c r="D126" s="94">
        <f>SUM(D123:D125)</f>
        <v>0</v>
      </c>
      <c r="E126" s="138" t="s">
        <v>392</v>
      </c>
      <c r="F126" s="121" t="s">
        <v>393</v>
      </c>
      <c r="G126" s="122">
        <v>0</v>
      </c>
    </row>
    <row r="127" spans="2:7" ht="13.7" customHeight="1">
      <c r="B127" s="5" t="s">
        <v>394</v>
      </c>
      <c r="C127" s="119" t="s">
        <v>273</v>
      </c>
      <c r="D127" s="120">
        <v>0</v>
      </c>
      <c r="E127" s="138" t="s">
        <v>395</v>
      </c>
      <c r="F127" s="121" t="s">
        <v>396</v>
      </c>
      <c r="G127" s="122">
        <v>0</v>
      </c>
    </row>
    <row r="128" spans="2:7" ht="13.7" customHeight="1">
      <c r="B128" s="5" t="s">
        <v>397</v>
      </c>
      <c r="C128" s="121" t="s">
        <v>398</v>
      </c>
      <c r="D128" s="122">
        <v>2860767</v>
      </c>
      <c r="E128" s="138" t="s">
        <v>399</v>
      </c>
      <c r="F128" s="121" t="s">
        <v>400</v>
      </c>
      <c r="G128" s="122">
        <v>93057</v>
      </c>
    </row>
    <row r="129" spans="2:7" ht="13.7" customHeight="1">
      <c r="B129" s="5" t="s">
        <v>401</v>
      </c>
      <c r="C129" s="121" t="s">
        <v>276</v>
      </c>
      <c r="D129" s="122">
        <v>0</v>
      </c>
      <c r="E129" s="138" t="s">
        <v>402</v>
      </c>
      <c r="F129" s="121" t="s">
        <v>403</v>
      </c>
      <c r="G129" s="122">
        <v>514723</v>
      </c>
    </row>
    <row r="130" spans="2:7" ht="13.7" customHeight="1">
      <c r="B130" s="5" t="s">
        <v>404</v>
      </c>
      <c r="C130" s="121" t="s">
        <v>282</v>
      </c>
      <c r="D130" s="122">
        <v>830445</v>
      </c>
      <c r="E130" s="138" t="s">
        <v>405</v>
      </c>
      <c r="F130" s="121" t="s">
        <v>406</v>
      </c>
      <c r="G130" s="122">
        <v>0</v>
      </c>
    </row>
    <row r="131" spans="2:7" ht="13.7" customHeight="1">
      <c r="B131" s="5" t="s">
        <v>407</v>
      </c>
      <c r="C131" s="121" t="s">
        <v>286</v>
      </c>
      <c r="D131" s="122">
        <v>2358507</v>
      </c>
      <c r="E131" s="138" t="s">
        <v>408</v>
      </c>
      <c r="F131" s="121" t="s">
        <v>409</v>
      </c>
      <c r="G131" s="122">
        <v>2085927</v>
      </c>
    </row>
    <row r="132" spans="2:7" ht="13.7" customHeight="1">
      <c r="B132" s="5" t="s">
        <v>410</v>
      </c>
      <c r="C132" s="121" t="s">
        <v>290</v>
      </c>
      <c r="D132" s="122">
        <v>737127</v>
      </c>
      <c r="E132" s="138" t="s">
        <v>411</v>
      </c>
      <c r="F132" s="121" t="s">
        <v>412</v>
      </c>
      <c r="G132" s="122">
        <v>2394416</v>
      </c>
    </row>
    <row r="133" spans="2:7" ht="13.7" customHeight="1">
      <c r="B133" s="5" t="s">
        <v>413</v>
      </c>
      <c r="C133" s="121" t="s">
        <v>294</v>
      </c>
      <c r="D133" s="122">
        <v>342333</v>
      </c>
      <c r="E133" s="138" t="s">
        <v>414</v>
      </c>
      <c r="F133" s="121" t="s">
        <v>415</v>
      </c>
      <c r="G133" s="122">
        <v>0</v>
      </c>
    </row>
    <row r="134" spans="2:7" ht="13.7" customHeight="1">
      <c r="B134" s="5" t="s">
        <v>416</v>
      </c>
      <c r="C134" s="121" t="s">
        <v>417</v>
      </c>
      <c r="D134" s="122">
        <v>958094</v>
      </c>
      <c r="E134" s="138" t="s">
        <v>418</v>
      </c>
      <c r="F134" s="121" t="s">
        <v>419</v>
      </c>
      <c r="G134" s="122">
        <v>256008</v>
      </c>
    </row>
    <row r="135" spans="2:7" ht="13.7" customHeight="1">
      <c r="B135" s="5" t="s">
        <v>420</v>
      </c>
      <c r="C135" s="121" t="s">
        <v>421</v>
      </c>
      <c r="D135" s="122">
        <v>767621</v>
      </c>
      <c r="E135" s="138" t="s">
        <v>422</v>
      </c>
      <c r="F135" s="121" t="s">
        <v>423</v>
      </c>
      <c r="G135" s="122">
        <v>0</v>
      </c>
    </row>
    <row r="136" spans="2:7" ht="13.7" customHeight="1">
      <c r="B136" s="5" t="s">
        <v>424</v>
      </c>
      <c r="C136" s="121" t="s">
        <v>317</v>
      </c>
      <c r="D136" s="122">
        <f>221689+525268+639413+44301339</f>
        <v>45687709</v>
      </c>
      <c r="E136" s="138" t="s">
        <v>425</v>
      </c>
      <c r="F136" s="121" t="s">
        <v>426</v>
      </c>
      <c r="G136" s="122">
        <v>156037</v>
      </c>
    </row>
    <row r="137" spans="2:7" ht="13.7" customHeight="1">
      <c r="B137" s="5" t="s">
        <v>427</v>
      </c>
      <c r="C137" s="78" t="s">
        <v>319</v>
      </c>
      <c r="D137" s="124">
        <f>301584+1585965</f>
        <v>1887549</v>
      </c>
      <c r="E137" s="138" t="s">
        <v>428</v>
      </c>
      <c r="F137" s="121" t="s">
        <v>429</v>
      </c>
      <c r="G137" s="122">
        <f>39658649+5874900</f>
        <v>45533549</v>
      </c>
    </row>
    <row r="138" spans="2:7" ht="13.7" customHeight="1" thickBot="1">
      <c r="B138" s="5"/>
      <c r="C138" s="85" t="s">
        <v>320</v>
      </c>
      <c r="D138" s="94">
        <f>SUM(D127:D137)</f>
        <v>56430152</v>
      </c>
      <c r="E138" s="138" t="s">
        <v>430</v>
      </c>
      <c r="F138" s="78" t="s">
        <v>431</v>
      </c>
      <c r="G138" s="79">
        <v>120186</v>
      </c>
    </row>
    <row r="139" spans="2:7" ht="13.7" customHeight="1" thickBot="1">
      <c r="B139" s="5" t="s">
        <v>432</v>
      </c>
      <c r="C139" s="119" t="s">
        <v>326</v>
      </c>
      <c r="D139" s="120">
        <v>0</v>
      </c>
      <c r="E139" s="228"/>
      <c r="F139" s="85" t="s">
        <v>433</v>
      </c>
      <c r="G139" s="94">
        <f>SUM(G124:G138)</f>
        <v>53610752</v>
      </c>
    </row>
    <row r="140" spans="2:7" ht="13.7" customHeight="1" thickBot="1">
      <c r="B140" s="5" t="s">
        <v>434</v>
      </c>
      <c r="C140" s="121" t="s">
        <v>328</v>
      </c>
      <c r="D140" s="122">
        <v>34712</v>
      </c>
      <c r="E140" s="228"/>
      <c r="F140" s="110" t="s">
        <v>435</v>
      </c>
      <c r="G140" s="126">
        <f>G123-G139</f>
        <v>-50097515</v>
      </c>
    </row>
    <row r="141" spans="2:7" ht="13.7" customHeight="1">
      <c r="B141" s="5" t="s">
        <v>436</v>
      </c>
      <c r="C141" s="78" t="s">
        <v>330</v>
      </c>
      <c r="D141" s="124">
        <v>0</v>
      </c>
      <c r="E141" s="229"/>
      <c r="F141" s="116"/>
      <c r="G141" s="116"/>
    </row>
    <row r="142" spans="2:7" ht="13.7" customHeight="1" thickBot="1">
      <c r="B142" s="5"/>
      <c r="C142" s="85" t="s">
        <v>331</v>
      </c>
      <c r="D142" s="94">
        <f>SUM(D139:D141)</f>
        <v>34712</v>
      </c>
      <c r="E142" s="229"/>
      <c r="F142" s="116"/>
      <c r="G142" s="116"/>
    </row>
    <row r="143" spans="2:7" ht="13.5" customHeight="1" thickBot="1">
      <c r="B143" s="5"/>
      <c r="C143" s="110" t="s">
        <v>332</v>
      </c>
      <c r="D143" s="126">
        <f>[31]Amortizaciones!D33</f>
        <v>0</v>
      </c>
      <c r="E143" s="138"/>
      <c r="F143" s="72" t="s">
        <v>437</v>
      </c>
      <c r="G143" s="118">
        <f>+[31]E.S.P.!D6</f>
        <v>2021</v>
      </c>
    </row>
    <row r="144" spans="2:7" ht="13.7" customHeight="1">
      <c r="B144" s="5" t="s">
        <v>438</v>
      </c>
      <c r="C144" s="119" t="s">
        <v>439</v>
      </c>
      <c r="D144" s="120">
        <v>1126467</v>
      </c>
      <c r="E144" s="138" t="s">
        <v>440</v>
      </c>
      <c r="F144" s="119" t="s">
        <v>441</v>
      </c>
      <c r="G144" s="120">
        <v>0</v>
      </c>
    </row>
    <row r="145" spans="2:7" ht="13.7" customHeight="1">
      <c r="B145" s="5" t="s">
        <v>442</v>
      </c>
      <c r="C145" s="121" t="s">
        <v>443</v>
      </c>
      <c r="D145" s="122">
        <f>891018+90820+82040+9566+19630+3988360</f>
        <v>5081434</v>
      </c>
      <c r="E145" s="138" t="s">
        <v>444</v>
      </c>
      <c r="F145" s="121" t="s">
        <v>445</v>
      </c>
      <c r="G145" s="122">
        <v>1608367</v>
      </c>
    </row>
    <row r="146" spans="2:7" ht="13.7" customHeight="1">
      <c r="B146" s="5" t="s">
        <v>446</v>
      </c>
      <c r="C146" s="128" t="s">
        <v>447</v>
      </c>
      <c r="D146" s="122">
        <v>0</v>
      </c>
      <c r="E146" s="138" t="s">
        <v>448</v>
      </c>
      <c r="F146" s="121" t="s">
        <v>449</v>
      </c>
      <c r="G146" s="122">
        <v>7672</v>
      </c>
    </row>
    <row r="147" spans="2:7" ht="13.7" customHeight="1">
      <c r="B147" s="5" t="s">
        <v>450</v>
      </c>
      <c r="C147" s="78" t="s">
        <v>451</v>
      </c>
      <c r="D147" s="124">
        <f>88431+169449</f>
        <v>257880</v>
      </c>
      <c r="E147" s="138" t="s">
        <v>452</v>
      </c>
      <c r="F147" s="121" t="s">
        <v>453</v>
      </c>
      <c r="G147" s="122">
        <v>0</v>
      </c>
    </row>
    <row r="148" spans="2:7" ht="13.7" customHeight="1" thickBot="1">
      <c r="B148" s="5"/>
      <c r="C148" s="85" t="s">
        <v>518</v>
      </c>
      <c r="D148" s="94">
        <f>SUM(D144:D147)</f>
        <v>6465781</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f>70159317-55747649</f>
        <v>14411668</v>
      </c>
    </row>
    <row r="152" spans="2:7" ht="13.7" customHeight="1" thickBot="1">
      <c r="B152" s="5"/>
      <c r="C152" s="85" t="s">
        <v>516</v>
      </c>
      <c r="D152" s="94">
        <f>SUM(D149:D151)</f>
        <v>0</v>
      </c>
      <c r="E152" s="138" t="s">
        <v>469</v>
      </c>
      <c r="F152" s="121" t="s">
        <v>470</v>
      </c>
      <c r="G152" s="122">
        <f>11636+153+575</f>
        <v>12364</v>
      </c>
    </row>
    <row r="153" spans="2:7" ht="15" customHeight="1" thickBot="1">
      <c r="B153" s="5"/>
      <c r="C153" s="110" t="s">
        <v>471</v>
      </c>
      <c r="D153" s="129">
        <f>D122+D126+D138+D142+D143+D148+D152</f>
        <v>164668632</v>
      </c>
      <c r="E153" s="138" t="s">
        <v>472</v>
      </c>
      <c r="F153" s="78" t="s">
        <v>473</v>
      </c>
      <c r="G153" s="79">
        <v>50925</v>
      </c>
    </row>
    <row r="154" spans="2:7" ht="13.7" customHeight="1" thickBot="1">
      <c r="B154" s="5"/>
      <c r="C154" s="116"/>
      <c r="D154" s="116"/>
      <c r="E154" s="138"/>
      <c r="F154" s="85" t="s">
        <v>474</v>
      </c>
      <c r="G154" s="94">
        <f>SUM(G144:G153)</f>
        <v>16090996</v>
      </c>
    </row>
    <row r="155" spans="2:7" ht="13.5" customHeight="1" thickBot="1">
      <c r="B155" s="5"/>
      <c r="C155" s="72" t="s">
        <v>475</v>
      </c>
      <c r="D155" s="103">
        <f>G109-D153</f>
        <v>69526096</v>
      </c>
      <c r="E155" s="138" t="s">
        <v>476</v>
      </c>
      <c r="F155" s="119" t="s">
        <v>477</v>
      </c>
      <c r="G155" s="120">
        <v>666421</v>
      </c>
    </row>
    <row r="156" spans="2:7" ht="13.7" customHeight="1">
      <c r="C156" s="116"/>
      <c r="D156" s="116"/>
      <c r="E156" s="138" t="s">
        <v>478</v>
      </c>
      <c r="F156" s="121" t="s">
        <v>479</v>
      </c>
      <c r="G156" s="122">
        <f>2446423+5428478</f>
        <v>7874901</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16273</v>
      </c>
    </row>
    <row r="160" spans="2:7" ht="13.7" customHeight="1">
      <c r="C160" s="116"/>
      <c r="D160" s="116"/>
      <c r="E160" s="138" t="s">
        <v>486</v>
      </c>
      <c r="F160" s="121" t="s">
        <v>487</v>
      </c>
      <c r="G160" s="122">
        <v>76717</v>
      </c>
    </row>
    <row r="161" spans="3:7" ht="13.7" customHeight="1">
      <c r="C161" s="116"/>
      <c r="D161" s="116"/>
      <c r="E161" s="138" t="s">
        <v>488</v>
      </c>
      <c r="F161" s="121" t="s">
        <v>489</v>
      </c>
      <c r="G161" s="122">
        <v>7184070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row>
    <row r="165" spans="3:7" ht="13.7" customHeight="1">
      <c r="C165" s="116"/>
      <c r="D165" s="116"/>
      <c r="E165" s="138" t="s">
        <v>496</v>
      </c>
      <c r="F165" s="121" t="s">
        <v>497</v>
      </c>
      <c r="G165" s="122">
        <v>0</v>
      </c>
    </row>
    <row r="166" spans="3:7" ht="13.7" customHeight="1">
      <c r="C166" s="116"/>
      <c r="D166" s="116"/>
      <c r="E166" s="138" t="s">
        <v>498</v>
      </c>
      <c r="F166" s="121" t="s">
        <v>499</v>
      </c>
      <c r="G166" s="122">
        <v>5207467</v>
      </c>
    </row>
    <row r="167" spans="3:7" ht="13.7" customHeight="1">
      <c r="C167" s="116"/>
      <c r="D167" s="116"/>
      <c r="E167" s="138" t="s">
        <v>500</v>
      </c>
      <c r="F167" s="78" t="s">
        <v>501</v>
      </c>
      <c r="G167" s="79">
        <f>642663+175525</f>
        <v>818188</v>
      </c>
    </row>
    <row r="168" spans="3:7" ht="13.7" customHeight="1" thickBot="1">
      <c r="C168" s="116"/>
      <c r="D168" s="116"/>
      <c r="E168" s="138"/>
      <c r="F168" s="85" t="s">
        <v>502</v>
      </c>
      <c r="G168" s="94">
        <f>SUM(G155:G167)</f>
        <v>21844037</v>
      </c>
    </row>
    <row r="169" spans="3:7" ht="13.7" customHeight="1" thickBot="1">
      <c r="C169" s="116"/>
      <c r="D169" s="116"/>
      <c r="E169" s="138"/>
      <c r="F169" s="110" t="s">
        <v>503</v>
      </c>
      <c r="G169" s="126">
        <f>G154-G168</f>
        <v>-5753041</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13675540</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f>+[31]E.C.P!E32</f>
        <v>10411900.700320002</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10411900.700320002</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24087440.700320002</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73" priority="2" stopIfTrue="1" operator="greaterThan">
      <formula>50</formula>
    </cfRule>
    <cfRule type="cellIs" dxfId="172" priority="11" stopIfTrue="1" operator="equal">
      <formula>0</formula>
    </cfRule>
  </conditionalFormatting>
  <conditionalFormatting sqref="D7:D61">
    <cfRule type="cellIs" dxfId="171" priority="9" stopIfTrue="1" operator="between">
      <formula>-0.1</formula>
      <formula>-50</formula>
    </cfRule>
    <cfRule type="cellIs" dxfId="170" priority="10" stopIfTrue="1" operator="between">
      <formula>0.1</formula>
      <formula>50</formula>
    </cfRule>
  </conditionalFormatting>
  <conditionalFormatting sqref="G152:G181 G7:G150">
    <cfRule type="cellIs" dxfId="169" priority="7" stopIfTrue="1" operator="between">
      <formula>-0.1</formula>
      <formula>-50</formula>
    </cfRule>
    <cfRule type="cellIs" dxfId="168" priority="8" stopIfTrue="1" operator="between">
      <formula>0.1</formula>
      <formula>50</formula>
    </cfRule>
  </conditionalFormatting>
  <conditionalFormatting sqref="D111:D155">
    <cfRule type="cellIs" dxfId="167" priority="5" stopIfTrue="1" operator="between">
      <formula>-0.1</formula>
      <formula>-50</formula>
    </cfRule>
    <cfRule type="cellIs" dxfId="166" priority="6" stopIfTrue="1" operator="between">
      <formula>0.1</formula>
      <formula>50</formula>
    </cfRule>
  </conditionalFormatting>
  <conditionalFormatting sqref="G165">
    <cfRule type="expression" dxfId="165" priority="4" stopIfTrue="1">
      <formula>AND($G$165&gt;0,$G$151&gt;0)</formula>
    </cfRule>
  </conditionalFormatting>
  <conditionalFormatting sqref="G151">
    <cfRule type="expression" dxfId="16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D27 D37 D56 D136:D147 G39 G53 G59:G61 G76:G82 G137 G151:G152 G156 G167 G175" unlockedFormula="1"/>
    <ignoredError sqref="G40" formulaRange="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topLeftCell="A49" zoomScaleNormal="100" zoomScaleSheetLayoutView="100" workbookViewId="0">
      <selection activeCell="A64" activeCellId="1" sqref="C180 A64:XFD64"/>
    </sheetView>
  </sheetViews>
  <sheetFormatPr baseColWidth="10" defaultColWidth="0" defaultRowHeight="15.75" zeroHeight="1"/>
  <cols>
    <col min="1" max="1" width="3" style="22" customWidth="1"/>
    <col min="2" max="2" width="14.28515625" style="27" hidden="1" customWidth="1"/>
    <col min="3" max="3" width="56.7109375" style="40" customWidth="1"/>
    <col min="4" max="4" width="21" style="40" customWidth="1"/>
    <col min="5" max="5" width="3.85546875" style="34" customWidth="1"/>
    <col min="6" max="6" width="57.28515625" style="40" customWidth="1"/>
    <col min="7" max="7" width="21" style="40" customWidth="1"/>
    <col min="8" max="8" width="3.28515625" style="25" customWidth="1"/>
    <col min="9" max="16384" width="0" style="25" hidden="1"/>
  </cols>
  <sheetData>
    <row r="1" spans="1:9">
      <c r="B1" s="23"/>
      <c r="C1" s="256" t="s">
        <v>0</v>
      </c>
      <c r="D1" s="257"/>
      <c r="E1" s="253" t="str">
        <f>[5]Presentacion!C3</f>
        <v>CASMU IAMPP</v>
      </c>
      <c r="F1" s="253"/>
      <c r="G1" s="136"/>
      <c r="H1" s="24"/>
    </row>
    <row r="2" spans="1:9">
      <c r="B2" s="26"/>
      <c r="C2" s="256" t="s">
        <v>1</v>
      </c>
      <c r="D2" s="257"/>
      <c r="E2" s="253" t="str">
        <f>[5]Presentacion!C4</f>
        <v xml:space="preserve">Montevideo </v>
      </c>
      <c r="F2" s="253"/>
      <c r="G2" s="136"/>
      <c r="H2" s="24"/>
    </row>
    <row r="3" spans="1:9">
      <c r="B3" s="26"/>
      <c r="C3" s="256" t="s">
        <v>2</v>
      </c>
      <c r="D3" s="256"/>
      <c r="E3" s="254" t="s">
        <v>3</v>
      </c>
      <c r="F3" s="254"/>
      <c r="G3" s="136"/>
      <c r="H3" s="24"/>
    </row>
    <row r="4" spans="1:9" ht="14.25" customHeight="1" thickBot="1">
      <c r="C4" s="66"/>
      <c r="D4" s="28"/>
      <c r="E4" s="29"/>
      <c r="F4" s="30"/>
      <c r="G4" s="31"/>
    </row>
    <row r="5" spans="1:9" ht="16.5" customHeight="1" thickBot="1">
      <c r="B5" s="32"/>
      <c r="C5" s="139" t="s">
        <v>4</v>
      </c>
      <c r="D5" s="140" t="s">
        <v>5</v>
      </c>
      <c r="E5" s="141"/>
      <c r="F5" s="139" t="s">
        <v>6</v>
      </c>
      <c r="G5" s="140" t="s">
        <v>5</v>
      </c>
      <c r="I5" s="33"/>
    </row>
    <row r="6" spans="1:9" ht="12.75" customHeight="1" thickBot="1">
      <c r="B6" s="32"/>
      <c r="C6" s="75" t="s">
        <v>7</v>
      </c>
      <c r="D6" s="76">
        <f>+[5]E.S.P.!D6</f>
        <v>2021</v>
      </c>
      <c r="E6" s="142"/>
      <c r="F6" s="75" t="s">
        <v>8</v>
      </c>
      <c r="G6" s="76">
        <f>+D6</f>
        <v>2021</v>
      </c>
      <c r="H6" s="33"/>
    </row>
    <row r="7" spans="1:9">
      <c r="B7" s="26" t="s">
        <v>9</v>
      </c>
      <c r="C7" s="78" t="s">
        <v>10</v>
      </c>
      <c r="D7" s="79">
        <v>232377006</v>
      </c>
      <c r="E7" s="142" t="s">
        <v>11</v>
      </c>
      <c r="F7" s="80" t="s">
        <v>12</v>
      </c>
      <c r="G7" s="81">
        <v>104981186</v>
      </c>
    </row>
    <row r="8" spans="1:9">
      <c r="B8" s="26" t="s">
        <v>13</v>
      </c>
      <c r="C8" s="78" t="s">
        <v>14</v>
      </c>
      <c r="D8" s="79">
        <v>318510188</v>
      </c>
      <c r="E8" s="142" t="s">
        <v>15</v>
      </c>
      <c r="F8" s="78" t="s">
        <v>16</v>
      </c>
      <c r="G8" s="82">
        <v>113631042</v>
      </c>
    </row>
    <row r="9" spans="1:9">
      <c r="B9" s="26" t="s">
        <v>17</v>
      </c>
      <c r="C9" s="78" t="s">
        <v>18</v>
      </c>
      <c r="D9" s="79">
        <v>6226015275</v>
      </c>
      <c r="E9" s="142" t="s">
        <v>19</v>
      </c>
      <c r="F9" s="78" t="s">
        <v>20</v>
      </c>
      <c r="G9" s="79">
        <v>765169880</v>
      </c>
    </row>
    <row r="10" spans="1:9">
      <c r="B10" s="26" t="s">
        <v>21</v>
      </c>
      <c r="C10" s="78" t="s">
        <v>22</v>
      </c>
      <c r="D10" s="79">
        <v>603399736</v>
      </c>
      <c r="E10" s="142" t="s">
        <v>23</v>
      </c>
      <c r="F10" s="78" t="s">
        <v>24</v>
      </c>
      <c r="G10" s="79">
        <v>521846843</v>
      </c>
    </row>
    <row r="11" spans="1:9">
      <c r="B11" s="26" t="s">
        <v>25</v>
      </c>
      <c r="C11" s="78" t="s">
        <v>26</v>
      </c>
      <c r="D11" s="79">
        <v>176289734</v>
      </c>
      <c r="E11" s="142" t="s">
        <v>27</v>
      </c>
      <c r="F11" s="78" t="s">
        <v>28</v>
      </c>
      <c r="G11" s="79">
        <v>1330716577</v>
      </c>
    </row>
    <row r="12" spans="1:9">
      <c r="B12" s="26" t="s">
        <v>29</v>
      </c>
      <c r="C12" s="78" t="s">
        <v>30</v>
      </c>
      <c r="D12" s="79">
        <v>184204679</v>
      </c>
      <c r="E12" s="142" t="s">
        <v>31</v>
      </c>
      <c r="F12" s="78" t="s">
        <v>32</v>
      </c>
      <c r="G12" s="79">
        <v>441704637</v>
      </c>
    </row>
    <row r="13" spans="1:9">
      <c r="B13" s="26" t="s">
        <v>33</v>
      </c>
      <c r="C13" s="78" t="s">
        <v>34</v>
      </c>
      <c r="D13" s="79">
        <v>0</v>
      </c>
      <c r="E13" s="142" t="s">
        <v>35</v>
      </c>
      <c r="F13" s="78" t="s">
        <v>36</v>
      </c>
      <c r="G13" s="79">
        <v>197743630</v>
      </c>
    </row>
    <row r="14" spans="1:9">
      <c r="A14" s="35"/>
      <c r="B14" s="26" t="s">
        <v>37</v>
      </c>
      <c r="C14" s="78" t="s">
        <v>38</v>
      </c>
      <c r="D14" s="79">
        <v>245745656</v>
      </c>
      <c r="E14" s="142" t="s">
        <v>39</v>
      </c>
      <c r="F14" s="78" t="s">
        <v>40</v>
      </c>
      <c r="G14" s="79">
        <v>1260893141</v>
      </c>
    </row>
    <row r="15" spans="1:9">
      <c r="B15" s="26" t="s">
        <v>41</v>
      </c>
      <c r="C15" s="83" t="s">
        <v>42</v>
      </c>
      <c r="D15" s="79">
        <v>0</v>
      </c>
      <c r="E15" s="142" t="s">
        <v>43</v>
      </c>
      <c r="F15" s="78" t="s">
        <v>44</v>
      </c>
      <c r="G15" s="79">
        <v>703837489</v>
      </c>
    </row>
    <row r="16" spans="1:9">
      <c r="B16" s="26" t="s">
        <v>45</v>
      </c>
      <c r="C16" s="78" t="s">
        <v>46</v>
      </c>
      <c r="D16" s="79">
        <v>0</v>
      </c>
      <c r="E16" s="142" t="s">
        <v>47</v>
      </c>
      <c r="F16" s="78" t="s">
        <v>48</v>
      </c>
      <c r="G16" s="79">
        <v>394729128</v>
      </c>
    </row>
    <row r="17" spans="1:7">
      <c r="B17" s="26" t="s">
        <v>49</v>
      </c>
      <c r="C17" s="78" t="s">
        <v>50</v>
      </c>
      <c r="D17" s="79">
        <v>0</v>
      </c>
      <c r="E17" s="142" t="s">
        <v>51</v>
      </c>
      <c r="F17" s="78" t="s">
        <v>52</v>
      </c>
      <c r="G17" s="79">
        <v>34079425</v>
      </c>
    </row>
    <row r="18" spans="1:7">
      <c r="A18" s="35"/>
      <c r="B18" s="26" t="s">
        <v>53</v>
      </c>
      <c r="C18" s="78" t="s">
        <v>54</v>
      </c>
      <c r="D18" s="79">
        <v>138291750</v>
      </c>
      <c r="E18" s="142" t="s">
        <v>55</v>
      </c>
      <c r="F18" s="78" t="s">
        <v>56</v>
      </c>
      <c r="G18" s="84">
        <v>205623771</v>
      </c>
    </row>
    <row r="19" spans="1:7" ht="16.5" thickBot="1">
      <c r="A19" s="35"/>
      <c r="B19" s="26" t="s">
        <v>57</v>
      </c>
      <c r="C19" s="78" t="s">
        <v>58</v>
      </c>
      <c r="D19" s="79">
        <v>289934771</v>
      </c>
      <c r="E19" s="142"/>
      <c r="F19" s="85" t="s">
        <v>59</v>
      </c>
      <c r="G19" s="86">
        <f>SUM(G7:G18)</f>
        <v>6074956749</v>
      </c>
    </row>
    <row r="20" spans="1:7" ht="16.5" thickBot="1">
      <c r="B20" s="26"/>
      <c r="C20" s="85" t="s">
        <v>60</v>
      </c>
      <c r="D20" s="86">
        <f>SUM(D7:D19)</f>
        <v>8414768795</v>
      </c>
      <c r="E20" s="142" t="s">
        <v>61</v>
      </c>
      <c r="F20" s="80" t="s">
        <v>62</v>
      </c>
      <c r="G20" s="81">
        <v>3147577</v>
      </c>
    </row>
    <row r="21" spans="1:7">
      <c r="B21" s="26"/>
      <c r="C21" s="87" t="s">
        <v>63</v>
      </c>
      <c r="D21" s="88">
        <f>SUM(D22:D28)</f>
        <v>187308066</v>
      </c>
      <c r="E21" s="142" t="s">
        <v>64</v>
      </c>
      <c r="F21" s="78" t="s">
        <v>65</v>
      </c>
      <c r="G21" s="79">
        <v>121890599</v>
      </c>
    </row>
    <row r="22" spans="1:7">
      <c r="B22" s="26" t="s">
        <v>66</v>
      </c>
      <c r="C22" s="78" t="s">
        <v>67</v>
      </c>
      <c r="D22" s="79">
        <v>65164772</v>
      </c>
      <c r="E22" s="142" t="s">
        <v>68</v>
      </c>
      <c r="F22" s="78" t="s">
        <v>69</v>
      </c>
      <c r="G22" s="79">
        <v>32173718</v>
      </c>
    </row>
    <row r="23" spans="1:7">
      <c r="B23" s="26" t="s">
        <v>70</v>
      </c>
      <c r="C23" s="78" t="s">
        <v>71</v>
      </c>
      <c r="D23" s="79">
        <v>25925466</v>
      </c>
      <c r="E23" s="142" t="s">
        <v>72</v>
      </c>
      <c r="F23" s="78" t="s">
        <v>73</v>
      </c>
      <c r="G23" s="79">
        <v>118347648</v>
      </c>
    </row>
    <row r="24" spans="1:7">
      <c r="B24" s="26" t="s">
        <v>74</v>
      </c>
      <c r="C24" s="78" t="s">
        <v>75</v>
      </c>
      <c r="D24" s="79">
        <v>37245885</v>
      </c>
      <c r="E24" s="142" t="s">
        <v>76</v>
      </c>
      <c r="F24" s="78" t="s">
        <v>77</v>
      </c>
      <c r="G24" s="79">
        <v>11276749</v>
      </c>
    </row>
    <row r="25" spans="1:7">
      <c r="B25" s="26" t="s">
        <v>78</v>
      </c>
      <c r="C25" s="78" t="s">
        <v>79</v>
      </c>
      <c r="D25" s="79">
        <v>18344608</v>
      </c>
      <c r="E25" s="142" t="s">
        <v>80</v>
      </c>
      <c r="F25" s="78" t="s">
        <v>81</v>
      </c>
      <c r="G25" s="79">
        <v>48121240</v>
      </c>
    </row>
    <row r="26" spans="1:7">
      <c r="B26" s="26" t="s">
        <v>82</v>
      </c>
      <c r="C26" s="78" t="s">
        <v>83</v>
      </c>
      <c r="D26" s="79">
        <v>13479681</v>
      </c>
      <c r="E26" s="142" t="s">
        <v>84</v>
      </c>
      <c r="F26" s="78" t="s">
        <v>85</v>
      </c>
      <c r="G26" s="84">
        <v>11865702</v>
      </c>
    </row>
    <row r="27" spans="1:7" ht="13.5" customHeight="1" thickBot="1">
      <c r="B27" s="26" t="s">
        <v>86</v>
      </c>
      <c r="C27" s="78" t="s">
        <v>87</v>
      </c>
      <c r="D27" s="79">
        <v>21120523</v>
      </c>
      <c r="E27" s="142"/>
      <c r="F27" s="85" t="s">
        <v>88</v>
      </c>
      <c r="G27" s="86">
        <f>SUM(G20:G26)</f>
        <v>346823233</v>
      </c>
    </row>
    <row r="28" spans="1:7" ht="16.5" thickBot="1">
      <c r="B28" s="26" t="s">
        <v>89</v>
      </c>
      <c r="C28" s="78" t="s">
        <v>90</v>
      </c>
      <c r="D28" s="251">
        <v>6027131</v>
      </c>
      <c r="E28" s="142" t="s">
        <v>91</v>
      </c>
      <c r="F28" s="80" t="s">
        <v>92</v>
      </c>
      <c r="G28" s="81">
        <v>136642789</v>
      </c>
    </row>
    <row r="29" spans="1:7">
      <c r="B29" s="26"/>
      <c r="C29" s="87" t="s">
        <v>93</v>
      </c>
      <c r="D29" s="88">
        <f>SUM(D30:D34)</f>
        <v>935547862</v>
      </c>
      <c r="E29" s="142" t="s">
        <v>94</v>
      </c>
      <c r="F29" s="78" t="s">
        <v>95</v>
      </c>
      <c r="G29" s="79">
        <v>0</v>
      </c>
    </row>
    <row r="30" spans="1:7">
      <c r="B30" s="26" t="s">
        <v>96</v>
      </c>
      <c r="C30" s="78" t="s">
        <v>97</v>
      </c>
      <c r="D30" s="79">
        <v>705058497</v>
      </c>
      <c r="E30" s="142" t="s">
        <v>98</v>
      </c>
      <c r="F30" s="78" t="s">
        <v>99</v>
      </c>
      <c r="G30" s="79">
        <v>0</v>
      </c>
    </row>
    <row r="31" spans="1:7">
      <c r="B31" s="26" t="s">
        <v>100</v>
      </c>
      <c r="C31" s="78" t="s">
        <v>101</v>
      </c>
      <c r="D31" s="79">
        <v>88206762</v>
      </c>
      <c r="E31" s="142" t="s">
        <v>102</v>
      </c>
      <c r="F31" s="78" t="s">
        <v>103</v>
      </c>
      <c r="G31" s="84">
        <v>4464885</v>
      </c>
    </row>
    <row r="32" spans="1:7" ht="16.5" thickBot="1">
      <c r="B32" s="26" t="s">
        <v>104</v>
      </c>
      <c r="C32" s="78" t="s">
        <v>105</v>
      </c>
      <c r="D32" s="79">
        <v>111443184</v>
      </c>
      <c r="E32" s="142"/>
      <c r="F32" s="85" t="s">
        <v>106</v>
      </c>
      <c r="G32" s="86">
        <f>SUM(G28:G31)</f>
        <v>141107674</v>
      </c>
    </row>
    <row r="33" spans="2:7" ht="16.5" thickBot="1">
      <c r="B33" s="26" t="s">
        <v>107</v>
      </c>
      <c r="C33" s="78" t="s">
        <v>108</v>
      </c>
      <c r="D33" s="79">
        <v>0</v>
      </c>
      <c r="E33" s="142"/>
      <c r="F33" s="85" t="s">
        <v>109</v>
      </c>
      <c r="G33" s="86">
        <f>SUM(G34:G39)</f>
        <v>733646406</v>
      </c>
    </row>
    <row r="34" spans="2:7">
      <c r="B34" s="26" t="s">
        <v>110</v>
      </c>
      <c r="C34" s="78" t="s">
        <v>111</v>
      </c>
      <c r="D34" s="79">
        <v>30839419</v>
      </c>
      <c r="E34" s="142" t="s">
        <v>112</v>
      </c>
      <c r="F34" s="78" t="s">
        <v>113</v>
      </c>
      <c r="G34" s="79">
        <v>39878464</v>
      </c>
    </row>
    <row r="35" spans="2:7" ht="16.5" thickBot="1">
      <c r="B35" s="26"/>
      <c r="C35" s="85" t="s">
        <v>114</v>
      </c>
      <c r="D35" s="86">
        <f>+D21+D29</f>
        <v>1122855928</v>
      </c>
      <c r="E35" s="142" t="s">
        <v>115</v>
      </c>
      <c r="F35" s="78" t="s">
        <v>116</v>
      </c>
      <c r="G35" s="79">
        <v>26874366</v>
      </c>
    </row>
    <row r="36" spans="2:7">
      <c r="B36" s="26" t="s">
        <v>117</v>
      </c>
      <c r="C36" s="78" t="s">
        <v>118</v>
      </c>
      <c r="D36" s="79">
        <v>12514847</v>
      </c>
      <c r="E36" s="142" t="s">
        <v>119</v>
      </c>
      <c r="F36" s="78" t="s">
        <v>517</v>
      </c>
      <c r="G36" s="79">
        <v>40841826</v>
      </c>
    </row>
    <row r="37" spans="2:7">
      <c r="B37" s="26" t="s">
        <v>120</v>
      </c>
      <c r="C37" s="78" t="s">
        <v>121</v>
      </c>
      <c r="D37" s="79">
        <v>336966592</v>
      </c>
      <c r="E37" s="142" t="s">
        <v>122</v>
      </c>
      <c r="F37" s="78" t="s">
        <v>123</v>
      </c>
      <c r="G37" s="79">
        <v>40200899</v>
      </c>
    </row>
    <row r="38" spans="2:7">
      <c r="B38" s="26" t="s">
        <v>124</v>
      </c>
      <c r="C38" s="78" t="s">
        <v>125</v>
      </c>
      <c r="D38" s="79">
        <v>0</v>
      </c>
      <c r="E38" s="142" t="s">
        <v>126</v>
      </c>
      <c r="F38" s="78" t="s">
        <v>127</v>
      </c>
      <c r="G38" s="79">
        <v>66345207</v>
      </c>
    </row>
    <row r="39" spans="2:7">
      <c r="B39" s="26" t="s">
        <v>128</v>
      </c>
      <c r="C39" s="78" t="s">
        <v>129</v>
      </c>
      <c r="D39" s="79">
        <v>0</v>
      </c>
      <c r="E39" s="142" t="s">
        <v>130</v>
      </c>
      <c r="F39" s="78" t="s">
        <v>131</v>
      </c>
      <c r="G39" s="79">
        <v>519505644</v>
      </c>
    </row>
    <row r="40" spans="2:7" ht="16.5" thickBot="1">
      <c r="B40" s="26" t="s">
        <v>132</v>
      </c>
      <c r="C40" s="78" t="s">
        <v>133</v>
      </c>
      <c r="D40" s="79">
        <v>0</v>
      </c>
      <c r="E40" s="142"/>
      <c r="F40" s="85" t="s">
        <v>134</v>
      </c>
      <c r="G40" s="86">
        <f>SUM(G41:G46)</f>
        <v>161674569</v>
      </c>
    </row>
    <row r="41" spans="2:7">
      <c r="B41" s="26" t="s">
        <v>135</v>
      </c>
      <c r="C41" s="78" t="s">
        <v>136</v>
      </c>
      <c r="D41" s="79">
        <v>273081472</v>
      </c>
      <c r="E41" s="142" t="s">
        <v>137</v>
      </c>
      <c r="F41" s="78" t="s">
        <v>138</v>
      </c>
      <c r="G41" s="79">
        <v>8788067</v>
      </c>
    </row>
    <row r="42" spans="2:7">
      <c r="B42" s="26" t="s">
        <v>139</v>
      </c>
      <c r="C42" s="78" t="s">
        <v>140</v>
      </c>
      <c r="D42" s="79">
        <v>144592005</v>
      </c>
      <c r="E42" s="142" t="s">
        <v>141</v>
      </c>
      <c r="F42" s="78" t="s">
        <v>142</v>
      </c>
      <c r="G42" s="79">
        <v>5922337</v>
      </c>
    </row>
    <row r="43" spans="2:7">
      <c r="B43" s="26" t="s">
        <v>143</v>
      </c>
      <c r="C43" s="78" t="s">
        <v>144</v>
      </c>
      <c r="D43" s="79">
        <v>0</v>
      </c>
      <c r="E43" s="142" t="s">
        <v>145</v>
      </c>
      <c r="F43" s="78" t="s">
        <v>146</v>
      </c>
      <c r="G43" s="79">
        <v>9000364</v>
      </c>
    </row>
    <row r="44" spans="2:7">
      <c r="B44" s="26" t="s">
        <v>147</v>
      </c>
      <c r="C44" s="78" t="s">
        <v>148</v>
      </c>
      <c r="D44" s="79">
        <v>0</v>
      </c>
      <c r="E44" s="142" t="s">
        <v>149</v>
      </c>
      <c r="F44" s="78" t="s">
        <v>150</v>
      </c>
      <c r="G44" s="79">
        <v>8859122</v>
      </c>
    </row>
    <row r="45" spans="2:7">
      <c r="B45" s="26" t="s">
        <v>151</v>
      </c>
      <c r="C45" s="78" t="s">
        <v>152</v>
      </c>
      <c r="D45" s="79">
        <v>651810287</v>
      </c>
      <c r="E45" s="142" t="s">
        <v>153</v>
      </c>
      <c r="F45" s="78" t="s">
        <v>154</v>
      </c>
      <c r="G45" s="79">
        <v>14620576</v>
      </c>
    </row>
    <row r="46" spans="2:7">
      <c r="B46" s="26" t="s">
        <v>155</v>
      </c>
      <c r="C46" s="78" t="s">
        <v>156</v>
      </c>
      <c r="D46" s="79">
        <v>38873894</v>
      </c>
      <c r="E46" s="142" t="s">
        <v>157</v>
      </c>
      <c r="F46" s="78" t="s">
        <v>158</v>
      </c>
      <c r="G46" s="79">
        <v>114484103</v>
      </c>
    </row>
    <row r="47" spans="2:7" ht="16.5" thickBot="1">
      <c r="B47" s="26"/>
      <c r="C47" s="85" t="s">
        <v>159</v>
      </c>
      <c r="D47" s="86">
        <f>SUM(D36:D46)</f>
        <v>1457839097</v>
      </c>
      <c r="E47" s="142" t="s">
        <v>160</v>
      </c>
      <c r="F47" s="78" t="s">
        <v>161</v>
      </c>
      <c r="G47" s="84">
        <v>30836729</v>
      </c>
    </row>
    <row r="48" spans="2:7" ht="16.5" thickBot="1">
      <c r="B48" s="26"/>
      <c r="C48" s="92" t="s">
        <v>162</v>
      </c>
      <c r="D48" s="93"/>
      <c r="E48" s="142"/>
      <c r="F48" s="85" t="s">
        <v>163</v>
      </c>
      <c r="G48" s="94">
        <f>+G33+G40+G47</f>
        <v>926157704</v>
      </c>
    </row>
    <row r="49" spans="2:7">
      <c r="B49" s="26" t="s">
        <v>164</v>
      </c>
      <c r="C49" s="95" t="s">
        <v>165</v>
      </c>
      <c r="D49" s="96">
        <v>0</v>
      </c>
      <c r="E49" s="142" t="s">
        <v>166</v>
      </c>
      <c r="F49" s="80" t="s">
        <v>167</v>
      </c>
      <c r="G49" s="81">
        <v>256713152</v>
      </c>
    </row>
    <row r="50" spans="2:7">
      <c r="B50" s="26" t="s">
        <v>168</v>
      </c>
      <c r="C50" s="78" t="s">
        <v>162</v>
      </c>
      <c r="D50" s="79">
        <v>8457138</v>
      </c>
      <c r="E50" s="142" t="s">
        <v>169</v>
      </c>
      <c r="F50" s="78" t="s">
        <v>170</v>
      </c>
      <c r="G50" s="79">
        <v>337971284</v>
      </c>
    </row>
    <row r="51" spans="2:7">
      <c r="B51" s="26" t="s">
        <v>171</v>
      </c>
      <c r="C51" s="78" t="s">
        <v>172</v>
      </c>
      <c r="D51" s="84">
        <v>264471</v>
      </c>
      <c r="E51" s="142" t="s">
        <v>173</v>
      </c>
      <c r="F51" s="78" t="s">
        <v>174</v>
      </c>
      <c r="G51" s="79">
        <v>16938094</v>
      </c>
    </row>
    <row r="52" spans="2:7" ht="16.5" thickBot="1">
      <c r="B52" s="32"/>
      <c r="C52" s="85" t="s">
        <v>175</v>
      </c>
      <c r="D52" s="86">
        <f>SUM(D49:D51)</f>
        <v>8721609</v>
      </c>
      <c r="E52" s="142" t="s">
        <v>176</v>
      </c>
      <c r="F52" s="78" t="s">
        <v>177</v>
      </c>
      <c r="G52" s="79">
        <v>0</v>
      </c>
    </row>
    <row r="53" spans="2:7" ht="16.5" thickBot="1">
      <c r="B53" s="26"/>
      <c r="C53" s="75" t="s">
        <v>178</v>
      </c>
      <c r="D53" s="97">
        <f>D20+D35+D47+D52</f>
        <v>11004185429</v>
      </c>
      <c r="E53" s="142" t="s">
        <v>179</v>
      </c>
      <c r="F53" s="78" t="s">
        <v>180</v>
      </c>
      <c r="G53" s="79">
        <v>41670277</v>
      </c>
    </row>
    <row r="54" spans="2:7">
      <c r="C54" s="249"/>
      <c r="D54" s="250"/>
      <c r="E54" s="142" t="s">
        <v>181</v>
      </c>
      <c r="F54" s="78" t="s">
        <v>182</v>
      </c>
      <c r="G54" s="79">
        <v>43468007</v>
      </c>
    </row>
    <row r="55" spans="2:7">
      <c r="C55" s="100" t="s">
        <v>183</v>
      </c>
      <c r="D55" s="101"/>
      <c r="E55" s="142" t="s">
        <v>184</v>
      </c>
      <c r="F55" s="78" t="s">
        <v>185</v>
      </c>
      <c r="G55" s="79">
        <v>24455599</v>
      </c>
    </row>
    <row r="56" spans="2:7">
      <c r="B56" s="26" t="s">
        <v>186</v>
      </c>
      <c r="C56" s="102" t="s">
        <v>187</v>
      </c>
      <c r="D56" s="79"/>
      <c r="E56" s="142" t="s">
        <v>188</v>
      </c>
      <c r="F56" s="78" t="s">
        <v>189</v>
      </c>
      <c r="G56" s="84">
        <v>23790774</v>
      </c>
    </row>
    <row r="57" spans="2:7" ht="14.25" customHeight="1" thickBot="1">
      <c r="B57" s="26" t="s">
        <v>190</v>
      </c>
      <c r="C57" s="102" t="s">
        <v>191</v>
      </c>
      <c r="D57" s="79"/>
      <c r="E57" s="142"/>
      <c r="F57" s="85" t="s">
        <v>192</v>
      </c>
      <c r="G57" s="86">
        <f>SUM(G49:G56)</f>
        <v>745007187</v>
      </c>
    </row>
    <row r="58" spans="2:7">
      <c r="B58" s="26" t="s">
        <v>193</v>
      </c>
      <c r="C58" s="102" t="s">
        <v>194</v>
      </c>
      <c r="D58" s="79"/>
      <c r="E58" s="142" t="s">
        <v>195</v>
      </c>
      <c r="F58" s="80" t="s">
        <v>196</v>
      </c>
      <c r="G58" s="81">
        <v>329188923</v>
      </c>
    </row>
    <row r="59" spans="2:7">
      <c r="B59" s="26" t="s">
        <v>197</v>
      </c>
      <c r="C59" s="78" t="s">
        <v>198</v>
      </c>
      <c r="D59" s="84"/>
      <c r="E59" s="142" t="s">
        <v>199</v>
      </c>
      <c r="F59" s="78" t="s">
        <v>200</v>
      </c>
      <c r="G59" s="79">
        <v>3556183</v>
      </c>
    </row>
    <row r="60" spans="2:7" ht="16.5" thickBot="1">
      <c r="B60" s="26"/>
      <c r="C60" s="100" t="s">
        <v>201</v>
      </c>
      <c r="D60" s="101"/>
      <c r="E60" s="142" t="s">
        <v>202</v>
      </c>
      <c r="F60" s="78" t="s">
        <v>203</v>
      </c>
      <c r="G60" s="79">
        <v>0</v>
      </c>
    </row>
    <row r="61" spans="2:7" ht="16.5" thickBot="1">
      <c r="B61" s="36"/>
      <c r="C61" s="72" t="s">
        <v>204</v>
      </c>
      <c r="D61" s="103">
        <f>D53+D60</f>
        <v>11004185429</v>
      </c>
      <c r="E61" s="142" t="s">
        <v>205</v>
      </c>
      <c r="F61" s="78" t="s">
        <v>206</v>
      </c>
      <c r="G61" s="79">
        <v>9358392</v>
      </c>
    </row>
    <row r="62" spans="2:7">
      <c r="B62" s="37"/>
      <c r="C62" s="104"/>
      <c r="D62" s="104"/>
      <c r="E62" s="142" t="s">
        <v>207</v>
      </c>
      <c r="F62" s="78" t="s">
        <v>208</v>
      </c>
      <c r="G62" s="79">
        <v>0</v>
      </c>
    </row>
    <row r="63" spans="2:7">
      <c r="B63" s="38"/>
      <c r="C63" s="148" t="s">
        <v>8</v>
      </c>
      <c r="D63" s="148"/>
      <c r="E63" s="142" t="s">
        <v>209</v>
      </c>
      <c r="F63" s="78" t="s">
        <v>210</v>
      </c>
      <c r="G63" s="79">
        <v>22588253</v>
      </c>
    </row>
    <row r="64" spans="2:7">
      <c r="B64" s="39" t="s">
        <v>211</v>
      </c>
      <c r="C64" s="149" t="s">
        <v>212</v>
      </c>
      <c r="D64" s="149">
        <f>[5]Amortizaciones!D6</f>
        <v>154749488</v>
      </c>
      <c r="E64" s="142" t="s">
        <v>213</v>
      </c>
      <c r="F64" s="78" t="s">
        <v>214</v>
      </c>
      <c r="G64" s="79">
        <v>28192695</v>
      </c>
    </row>
    <row r="65" spans="2:7">
      <c r="B65" s="39" t="s">
        <v>215</v>
      </c>
      <c r="C65" s="149" t="s">
        <v>216</v>
      </c>
      <c r="D65" s="149">
        <f>[5]Amortizaciones!D7</f>
        <v>0</v>
      </c>
      <c r="E65" s="142" t="s">
        <v>217</v>
      </c>
      <c r="F65" s="78" t="s">
        <v>218</v>
      </c>
      <c r="G65" s="79">
        <v>1005520</v>
      </c>
    </row>
    <row r="66" spans="2:7">
      <c r="B66" s="39" t="s">
        <v>219</v>
      </c>
      <c r="C66" s="149" t="s">
        <v>220</v>
      </c>
      <c r="D66" s="149">
        <f>[5]Amortizaciones!D8</f>
        <v>6390503</v>
      </c>
      <c r="E66" s="142" t="s">
        <v>221</v>
      </c>
      <c r="F66" s="78" t="s">
        <v>222</v>
      </c>
      <c r="G66" s="79">
        <v>55932035</v>
      </c>
    </row>
    <row r="67" spans="2:7">
      <c r="B67" s="39" t="s">
        <v>223</v>
      </c>
      <c r="C67" s="149" t="s">
        <v>224</v>
      </c>
      <c r="D67" s="149">
        <f>[5]Amortizaciones!D9</f>
        <v>0</v>
      </c>
      <c r="E67" s="142" t="s">
        <v>225</v>
      </c>
      <c r="F67" s="78" t="s">
        <v>226</v>
      </c>
      <c r="G67" s="79">
        <v>0</v>
      </c>
    </row>
    <row r="68" spans="2:7">
      <c r="B68" s="39" t="s">
        <v>227</v>
      </c>
      <c r="C68" s="149" t="s">
        <v>228</v>
      </c>
      <c r="D68" s="149">
        <f>[5]Amortizaciones!D10</f>
        <v>53137485</v>
      </c>
      <c r="E68" s="142" t="s">
        <v>229</v>
      </c>
      <c r="F68" s="78" t="s">
        <v>230</v>
      </c>
      <c r="G68" s="79">
        <v>0</v>
      </c>
    </row>
    <row r="69" spans="2:7">
      <c r="B69" s="39" t="s">
        <v>231</v>
      </c>
      <c r="C69" s="149" t="s">
        <v>232</v>
      </c>
      <c r="D69" s="149">
        <f>[5]Amortizaciones!D11</f>
        <v>0</v>
      </c>
      <c r="E69" s="142" t="s">
        <v>233</v>
      </c>
      <c r="F69" s="78" t="s">
        <v>234</v>
      </c>
      <c r="G69" s="79">
        <v>25716059</v>
      </c>
    </row>
    <row r="70" spans="2:7">
      <c r="B70" s="39" t="s">
        <v>235</v>
      </c>
      <c r="C70" s="149" t="s">
        <v>236</v>
      </c>
      <c r="D70" s="149">
        <f>[5]Amortizaciones!D12</f>
        <v>0</v>
      </c>
      <c r="E70" s="142" t="s">
        <v>237</v>
      </c>
      <c r="F70" s="78" t="s">
        <v>238</v>
      </c>
      <c r="G70" s="79">
        <v>12786940</v>
      </c>
    </row>
    <row r="71" spans="2:7">
      <c r="B71" s="39" t="s">
        <v>239</v>
      </c>
      <c r="C71" s="149" t="s">
        <v>240</v>
      </c>
      <c r="D71" s="149">
        <f>[5]Amortizaciones!D13</f>
        <v>4024760</v>
      </c>
      <c r="E71" s="142" t="s">
        <v>241</v>
      </c>
      <c r="F71" s="78" t="s">
        <v>242</v>
      </c>
      <c r="G71" s="79">
        <v>14091459</v>
      </c>
    </row>
    <row r="72" spans="2:7">
      <c r="B72" s="39" t="s">
        <v>243</v>
      </c>
      <c r="C72" s="149" t="s">
        <v>244</v>
      </c>
      <c r="D72" s="149">
        <f>[5]Amortizaciones!D14</f>
        <v>23122365</v>
      </c>
      <c r="E72" s="142" t="s">
        <v>245</v>
      </c>
      <c r="F72" s="78" t="s">
        <v>246</v>
      </c>
      <c r="G72" s="79">
        <v>0</v>
      </c>
    </row>
    <row r="73" spans="2:7">
      <c r="B73" s="39" t="s">
        <v>247</v>
      </c>
      <c r="C73" s="149" t="s">
        <v>248</v>
      </c>
      <c r="D73" s="149">
        <f>[5]Amortizaciones!D15</f>
        <v>0</v>
      </c>
      <c r="E73" s="142" t="s">
        <v>249</v>
      </c>
      <c r="F73" s="78" t="s">
        <v>250</v>
      </c>
      <c r="G73" s="79">
        <v>0</v>
      </c>
    </row>
    <row r="74" spans="2:7">
      <c r="B74" s="39" t="s">
        <v>251</v>
      </c>
      <c r="C74" s="149" t="s">
        <v>252</v>
      </c>
      <c r="D74" s="149">
        <f>[5]Amortizaciones!D16</f>
        <v>20767595</v>
      </c>
      <c r="E74" s="142" t="s">
        <v>253</v>
      </c>
      <c r="F74" s="78" t="s">
        <v>254</v>
      </c>
      <c r="G74" s="79">
        <v>0</v>
      </c>
    </row>
    <row r="75" spans="2:7">
      <c r="B75" s="39" t="s">
        <v>255</v>
      </c>
      <c r="C75" s="149" t="s">
        <v>256</v>
      </c>
      <c r="D75" s="149">
        <f>[5]Amortizaciones!D17</f>
        <v>3863567</v>
      </c>
      <c r="E75" s="142" t="s">
        <v>257</v>
      </c>
      <c r="F75" s="78" t="s">
        <v>258</v>
      </c>
      <c r="G75" s="79">
        <v>20585942</v>
      </c>
    </row>
    <row r="76" spans="2:7">
      <c r="B76" s="39" t="s">
        <v>259</v>
      </c>
      <c r="C76" s="149" t="s">
        <v>260</v>
      </c>
      <c r="D76" s="149">
        <f>[5]Amortizaciones!D18</f>
        <v>0</v>
      </c>
      <c r="E76" s="142" t="s">
        <v>261</v>
      </c>
      <c r="F76" s="78" t="s">
        <v>262</v>
      </c>
      <c r="G76" s="79">
        <v>155908086</v>
      </c>
    </row>
    <row r="77" spans="2:7">
      <c r="B77" s="39" t="s">
        <v>263</v>
      </c>
      <c r="C77" s="149" t="s">
        <v>264</v>
      </c>
      <c r="D77" s="149">
        <f>SUM(D64:D76)</f>
        <v>266055763</v>
      </c>
      <c r="E77" s="142" t="s">
        <v>265</v>
      </c>
      <c r="F77" s="78" t="s">
        <v>266</v>
      </c>
      <c r="G77" s="79">
        <v>196820517</v>
      </c>
    </row>
    <row r="78" spans="2:7">
      <c r="B78" s="39"/>
      <c r="C78" s="149"/>
      <c r="D78" s="149"/>
      <c r="E78" s="142" t="s">
        <v>267</v>
      </c>
      <c r="F78" s="78" t="s">
        <v>268</v>
      </c>
      <c r="G78" s="84">
        <v>30353943</v>
      </c>
    </row>
    <row r="79" spans="2:7" ht="16.5" thickBot="1">
      <c r="B79" s="39"/>
      <c r="C79" s="148" t="s">
        <v>269</v>
      </c>
      <c r="D79" s="150"/>
      <c r="E79" s="142"/>
      <c r="F79" s="85" t="s">
        <v>270</v>
      </c>
      <c r="G79" s="86">
        <f>SUM(G58:G78)</f>
        <v>906084947</v>
      </c>
    </row>
    <row r="80" spans="2:7">
      <c r="B80" s="39" t="s">
        <v>271</v>
      </c>
      <c r="C80" s="149" t="s">
        <v>236</v>
      </c>
      <c r="D80" s="149">
        <f>[5]Amortizaciones!D22</f>
        <v>0</v>
      </c>
      <c r="E80" s="142" t="s">
        <v>272</v>
      </c>
      <c r="F80" s="80" t="s">
        <v>273</v>
      </c>
      <c r="G80" s="81">
        <v>0</v>
      </c>
    </row>
    <row r="81" spans="2:7">
      <c r="B81" s="39" t="s">
        <v>274</v>
      </c>
      <c r="C81" s="149" t="s">
        <v>240</v>
      </c>
      <c r="D81" s="149">
        <f>[5]Amortizaciones!D23</f>
        <v>185672</v>
      </c>
      <c r="E81" s="142" t="s">
        <v>275</v>
      </c>
      <c r="F81" s="78" t="s">
        <v>276</v>
      </c>
      <c r="G81" s="79">
        <v>256699586</v>
      </c>
    </row>
    <row r="82" spans="2:7">
      <c r="B82" s="39" t="s">
        <v>277</v>
      </c>
      <c r="C82" s="149" t="s">
        <v>244</v>
      </c>
      <c r="D82" s="149">
        <f>[5]Amortizaciones!D24</f>
        <v>1066693</v>
      </c>
      <c r="E82" s="142" t="s">
        <v>278</v>
      </c>
      <c r="F82" s="78" t="s">
        <v>279</v>
      </c>
      <c r="G82" s="79">
        <v>15228925</v>
      </c>
    </row>
    <row r="83" spans="2:7">
      <c r="B83" s="39" t="s">
        <v>280</v>
      </c>
      <c r="C83" s="149" t="s">
        <v>248</v>
      </c>
      <c r="D83" s="149">
        <f>[5]Amortizaciones!D25</f>
        <v>0</v>
      </c>
      <c r="E83" s="142" t="s">
        <v>281</v>
      </c>
      <c r="F83" s="78" t="s">
        <v>282</v>
      </c>
      <c r="G83" s="79">
        <v>14845643</v>
      </c>
    </row>
    <row r="84" spans="2:7">
      <c r="B84" s="39" t="s">
        <v>283</v>
      </c>
      <c r="C84" s="149" t="s">
        <v>284</v>
      </c>
      <c r="D84" s="149">
        <v>0</v>
      </c>
      <c r="E84" s="142" t="s">
        <v>285</v>
      </c>
      <c r="F84" s="78" t="s">
        <v>286</v>
      </c>
      <c r="G84" s="79">
        <v>40281156</v>
      </c>
    </row>
    <row r="85" spans="2:7">
      <c r="B85" s="39" t="s">
        <v>287</v>
      </c>
      <c r="C85" s="149" t="s">
        <v>288</v>
      </c>
      <c r="D85" s="149">
        <f>[5]Amortizaciones!D27</f>
        <v>0</v>
      </c>
      <c r="E85" s="142" t="s">
        <v>289</v>
      </c>
      <c r="F85" s="78" t="s">
        <v>290</v>
      </c>
      <c r="G85" s="79">
        <v>15414356</v>
      </c>
    </row>
    <row r="86" spans="2:7" ht="13.5" customHeight="1">
      <c r="B86" s="39" t="s">
        <v>291</v>
      </c>
      <c r="C86" s="149" t="s">
        <v>292</v>
      </c>
      <c r="D86" s="149">
        <f>[5]Amortizaciones!D28</f>
        <v>0</v>
      </c>
      <c r="E86" s="142" t="s">
        <v>293</v>
      </c>
      <c r="F86" s="78" t="s">
        <v>294</v>
      </c>
      <c r="G86" s="79">
        <v>4779911</v>
      </c>
    </row>
    <row r="87" spans="2:7" ht="13.5" customHeight="1">
      <c r="B87" s="39" t="s">
        <v>295</v>
      </c>
      <c r="C87" s="149" t="s">
        <v>296</v>
      </c>
      <c r="D87" s="149">
        <f>[5]Amortizaciones!D29</f>
        <v>0</v>
      </c>
      <c r="E87" s="142" t="s">
        <v>297</v>
      </c>
      <c r="F87" s="78" t="s">
        <v>298</v>
      </c>
      <c r="G87" s="79">
        <v>11435189</v>
      </c>
    </row>
    <row r="88" spans="2:7" ht="13.5" customHeight="1">
      <c r="B88" s="39" t="s">
        <v>299</v>
      </c>
      <c r="C88" s="149" t="s">
        <v>300</v>
      </c>
      <c r="D88" s="149">
        <f>[5]Amortizaciones!D30</f>
        <v>958062</v>
      </c>
      <c r="E88" s="142" t="s">
        <v>301</v>
      </c>
      <c r="F88" s="78" t="s">
        <v>302</v>
      </c>
      <c r="G88" s="79">
        <v>380797</v>
      </c>
    </row>
    <row r="89" spans="2:7">
      <c r="B89" s="39" t="s">
        <v>303</v>
      </c>
      <c r="C89" s="149" t="s">
        <v>212</v>
      </c>
      <c r="D89" s="149">
        <f>[5]Amortizaciones!D31</f>
        <v>7138984</v>
      </c>
      <c r="E89" s="142" t="s">
        <v>304</v>
      </c>
      <c r="F89" s="78" t="s">
        <v>305</v>
      </c>
      <c r="G89" s="79">
        <v>0</v>
      </c>
    </row>
    <row r="90" spans="2:7" ht="14.25" customHeight="1">
      <c r="B90" s="39" t="s">
        <v>306</v>
      </c>
      <c r="C90" s="149" t="s">
        <v>228</v>
      </c>
      <c r="D90" s="149">
        <f>[5]Amortizaciones!D32</f>
        <v>2451366</v>
      </c>
      <c r="E90" s="142" t="s">
        <v>307</v>
      </c>
      <c r="F90" s="78" t="s">
        <v>308</v>
      </c>
      <c r="G90" s="79">
        <v>27616936</v>
      </c>
    </row>
    <row r="91" spans="2:7" ht="14.25" customHeight="1">
      <c r="B91" s="39" t="s">
        <v>309</v>
      </c>
      <c r="C91" s="149" t="s">
        <v>310</v>
      </c>
      <c r="D91" s="149">
        <f>SUM(D80:D90)</f>
        <v>11800777</v>
      </c>
      <c r="E91" s="151" t="s">
        <v>311</v>
      </c>
      <c r="F91" s="78" t="s">
        <v>312</v>
      </c>
      <c r="G91" s="79">
        <v>0</v>
      </c>
    </row>
    <row r="92" spans="2:7" ht="14.25" customHeight="1">
      <c r="B92" s="39"/>
      <c r="C92" s="152" t="s">
        <v>313</v>
      </c>
      <c r="D92" s="149">
        <f>D77+D91</f>
        <v>277856540</v>
      </c>
      <c r="E92" s="151" t="s">
        <v>314</v>
      </c>
      <c r="F92" s="78" t="s">
        <v>315</v>
      </c>
      <c r="G92" s="79">
        <v>0</v>
      </c>
    </row>
    <row r="93" spans="2:7">
      <c r="C93" s="104"/>
      <c r="D93" s="104"/>
      <c r="E93" s="151" t="s">
        <v>316</v>
      </c>
      <c r="F93" s="78" t="s">
        <v>317</v>
      </c>
      <c r="G93" s="79">
        <v>246457951</v>
      </c>
    </row>
    <row r="94" spans="2:7">
      <c r="C94" s="104"/>
      <c r="D94" s="104"/>
      <c r="E94" s="151" t="s">
        <v>318</v>
      </c>
      <c r="F94" s="78" t="s">
        <v>319</v>
      </c>
      <c r="G94" s="84">
        <v>20131312</v>
      </c>
    </row>
    <row r="95" spans="2:7" ht="13.5" customHeight="1" thickBot="1">
      <c r="C95" s="104"/>
      <c r="D95" s="104"/>
      <c r="E95" s="142"/>
      <c r="F95" s="85" t="s">
        <v>320</v>
      </c>
      <c r="G95" s="86">
        <f>SUM(G80:G94)</f>
        <v>653271762</v>
      </c>
    </row>
    <row r="96" spans="2:7">
      <c r="C96" s="104"/>
      <c r="D96" s="104"/>
      <c r="E96" s="151" t="s">
        <v>321</v>
      </c>
      <c r="F96" s="80" t="s">
        <v>322</v>
      </c>
      <c r="G96" s="81">
        <v>9967217</v>
      </c>
    </row>
    <row r="97" spans="2:7">
      <c r="C97" s="104"/>
      <c r="D97" s="104"/>
      <c r="E97" s="151" t="s">
        <v>323</v>
      </c>
      <c r="F97" s="78" t="s">
        <v>324</v>
      </c>
      <c r="G97" s="79">
        <v>64957425</v>
      </c>
    </row>
    <row r="98" spans="2:7">
      <c r="C98" s="104"/>
      <c r="D98" s="104"/>
      <c r="E98" s="151" t="s">
        <v>325</v>
      </c>
      <c r="F98" s="78" t="s">
        <v>326</v>
      </c>
      <c r="G98" s="79">
        <v>999377</v>
      </c>
    </row>
    <row r="99" spans="2:7">
      <c r="C99" s="104"/>
      <c r="D99" s="104"/>
      <c r="E99" s="151" t="s">
        <v>327</v>
      </c>
      <c r="F99" s="78" t="s">
        <v>328</v>
      </c>
      <c r="G99" s="79">
        <v>19498858</v>
      </c>
    </row>
    <row r="100" spans="2:7">
      <c r="C100" s="104"/>
      <c r="D100" s="104"/>
      <c r="E100" s="151" t="s">
        <v>329</v>
      </c>
      <c r="F100" s="78" t="s">
        <v>330</v>
      </c>
      <c r="G100" s="84">
        <v>3511158</v>
      </c>
    </row>
    <row r="101" spans="2:7" ht="12.75" customHeight="1" thickBot="1">
      <c r="C101" s="104"/>
      <c r="D101" s="104"/>
      <c r="E101" s="142"/>
      <c r="F101" s="85" t="s">
        <v>331</v>
      </c>
      <c r="G101" s="86">
        <f>SUM(G96:G100)</f>
        <v>98934035</v>
      </c>
    </row>
    <row r="102" spans="2:7" ht="12.75" customHeight="1" thickBot="1">
      <c r="C102" s="104"/>
      <c r="D102" s="104"/>
      <c r="E102" s="151"/>
      <c r="F102" s="110" t="s">
        <v>332</v>
      </c>
      <c r="G102" s="111">
        <f>[5]Amortizaciones!D19</f>
        <v>266055763</v>
      </c>
    </row>
    <row r="103" spans="2:7">
      <c r="C103" s="104"/>
      <c r="D103" s="104"/>
      <c r="E103" s="151" t="s">
        <v>333</v>
      </c>
      <c r="F103" s="78" t="s">
        <v>334</v>
      </c>
      <c r="G103" s="81">
        <v>0</v>
      </c>
    </row>
    <row r="104" spans="2:7">
      <c r="C104" s="104"/>
      <c r="D104" s="104"/>
      <c r="E104" s="151" t="s">
        <v>335</v>
      </c>
      <c r="F104" s="112" t="s">
        <v>336</v>
      </c>
      <c r="G104" s="79">
        <v>0</v>
      </c>
    </row>
    <row r="105" spans="2:7" ht="14.25" customHeight="1" thickBot="1">
      <c r="C105" s="104"/>
      <c r="D105" s="104"/>
      <c r="E105" s="142"/>
      <c r="F105" s="85" t="s">
        <v>337</v>
      </c>
      <c r="G105" s="86">
        <f>SUM(G103:G104)</f>
        <v>0</v>
      </c>
    </row>
    <row r="106" spans="2:7" ht="14.25" customHeight="1" thickBot="1">
      <c r="B106" s="26"/>
      <c r="C106" s="113"/>
      <c r="D106" s="113"/>
      <c r="E106" s="151"/>
      <c r="F106" s="139" t="s">
        <v>338</v>
      </c>
      <c r="G106" s="147">
        <f>G19+G27+G32+G48+G57+G79+G95+G101+G102+G105</f>
        <v>10158399054</v>
      </c>
    </row>
    <row r="107" spans="2:7" ht="5.25" customHeight="1">
      <c r="B107" s="26"/>
      <c r="C107" s="113"/>
      <c r="D107" s="113"/>
      <c r="E107" s="142"/>
      <c r="F107" s="114"/>
      <c r="G107" s="115"/>
    </row>
    <row r="108" spans="2:7" ht="5.25" customHeight="1" thickBot="1">
      <c r="B108" s="26"/>
      <c r="C108" s="113"/>
      <c r="D108" s="113"/>
      <c r="E108" s="142"/>
      <c r="F108" s="116"/>
      <c r="G108" s="116"/>
    </row>
    <row r="109" spans="2:7" ht="16.5" customHeight="1" thickBot="1">
      <c r="B109" s="26"/>
      <c r="C109" s="113"/>
      <c r="D109" s="113"/>
      <c r="E109" s="142"/>
      <c r="F109" s="139" t="s">
        <v>339</v>
      </c>
      <c r="G109" s="147">
        <f>D61-G106</f>
        <v>845786375</v>
      </c>
    </row>
    <row r="110" spans="2:7" ht="6.75" customHeight="1" thickBot="1">
      <c r="B110" s="26"/>
      <c r="C110" s="117"/>
      <c r="D110" s="117"/>
      <c r="E110" s="142"/>
      <c r="F110" s="116"/>
      <c r="G110" s="116"/>
    </row>
    <row r="111" spans="2:7" ht="15" customHeight="1" thickBot="1">
      <c r="C111" s="139" t="s">
        <v>269</v>
      </c>
      <c r="D111" s="153">
        <f>+[5]E.S.P.!D6</f>
        <v>2021</v>
      </c>
      <c r="E111" s="151"/>
      <c r="F111" s="139" t="s">
        <v>340</v>
      </c>
      <c r="G111" s="153">
        <f>+[5]E.S.P.!D6</f>
        <v>2021</v>
      </c>
    </row>
    <row r="112" spans="2:7" ht="13.7" customHeight="1">
      <c r="B112" s="26" t="s">
        <v>341</v>
      </c>
      <c r="C112" s="119" t="s">
        <v>342</v>
      </c>
      <c r="D112" s="120">
        <v>30997053</v>
      </c>
      <c r="E112" s="142" t="s">
        <v>343</v>
      </c>
      <c r="F112" s="119" t="s">
        <v>308</v>
      </c>
      <c r="G112" s="120">
        <v>4782208</v>
      </c>
    </row>
    <row r="113" spans="2:7" ht="13.7" customHeight="1">
      <c r="B113" s="26" t="s">
        <v>344</v>
      </c>
      <c r="C113" s="121" t="s">
        <v>345</v>
      </c>
      <c r="D113" s="122">
        <v>287499516</v>
      </c>
      <c r="E113" s="142" t="s">
        <v>346</v>
      </c>
      <c r="F113" s="121" t="s">
        <v>347</v>
      </c>
      <c r="G113" s="122">
        <v>0</v>
      </c>
    </row>
    <row r="114" spans="2:7" ht="13.7" customHeight="1">
      <c r="B114" s="26" t="s">
        <v>348</v>
      </c>
      <c r="C114" s="121" t="s">
        <v>48</v>
      </c>
      <c r="D114" s="122">
        <v>9966868</v>
      </c>
      <c r="E114" s="142" t="s">
        <v>349</v>
      </c>
      <c r="F114" s="121" t="s">
        <v>350</v>
      </c>
      <c r="G114" s="122">
        <v>113136857</v>
      </c>
    </row>
    <row r="115" spans="2:7" ht="13.7" customHeight="1">
      <c r="B115" s="26" t="s">
        <v>351</v>
      </c>
      <c r="C115" s="121" t="s">
        <v>352</v>
      </c>
      <c r="D115" s="122">
        <v>2325929</v>
      </c>
      <c r="E115" s="142" t="s">
        <v>353</v>
      </c>
      <c r="F115" s="121" t="s">
        <v>354</v>
      </c>
      <c r="G115" s="122">
        <v>45131693</v>
      </c>
    </row>
    <row r="116" spans="2:7" ht="13.7" customHeight="1">
      <c r="B116" s="26" t="s">
        <v>355</v>
      </c>
      <c r="C116" s="121" t="s">
        <v>356</v>
      </c>
      <c r="D116" s="122">
        <v>11502267</v>
      </c>
      <c r="E116" s="142" t="s">
        <v>357</v>
      </c>
      <c r="F116" s="121" t="s">
        <v>358</v>
      </c>
      <c r="G116" s="122">
        <v>0</v>
      </c>
    </row>
    <row r="117" spans="2:7" ht="13.7" customHeight="1">
      <c r="B117" s="26" t="s">
        <v>359</v>
      </c>
      <c r="C117" s="121" t="s">
        <v>360</v>
      </c>
      <c r="D117" s="122">
        <v>105523</v>
      </c>
      <c r="E117" s="142" t="s">
        <v>361</v>
      </c>
      <c r="F117" s="121" t="s">
        <v>362</v>
      </c>
      <c r="G117" s="122">
        <v>621818</v>
      </c>
    </row>
    <row r="118" spans="2:7" ht="13.7" customHeight="1">
      <c r="B118" s="26" t="s">
        <v>363</v>
      </c>
      <c r="C118" s="121" t="s">
        <v>364</v>
      </c>
      <c r="D118" s="122">
        <v>898154</v>
      </c>
      <c r="E118" s="142" t="s">
        <v>365</v>
      </c>
      <c r="F118" s="121" t="s">
        <v>366</v>
      </c>
      <c r="G118" s="122">
        <v>0</v>
      </c>
    </row>
    <row r="119" spans="2:7" ht="13.7" customHeight="1">
      <c r="B119" s="26" t="s">
        <v>367</v>
      </c>
      <c r="C119" s="121" t="s">
        <v>368</v>
      </c>
      <c r="D119" s="122">
        <v>1807666</v>
      </c>
      <c r="E119" s="142" t="s">
        <v>369</v>
      </c>
      <c r="F119" s="121" t="s">
        <v>370</v>
      </c>
      <c r="G119" s="122">
        <v>0</v>
      </c>
    </row>
    <row r="120" spans="2:7" ht="13.7" customHeight="1">
      <c r="B120" s="26" t="s">
        <v>371</v>
      </c>
      <c r="C120" s="121" t="s">
        <v>372</v>
      </c>
      <c r="D120" s="122">
        <v>11359808</v>
      </c>
      <c r="E120" s="142" t="s">
        <v>373</v>
      </c>
      <c r="F120" s="121" t="s">
        <v>374</v>
      </c>
      <c r="G120" s="122">
        <v>0</v>
      </c>
    </row>
    <row r="121" spans="2:7" ht="13.7" customHeight="1">
      <c r="B121" s="26" t="s">
        <v>375</v>
      </c>
      <c r="C121" s="78" t="s">
        <v>376</v>
      </c>
      <c r="D121" s="122">
        <v>12041880</v>
      </c>
      <c r="E121" s="142" t="s">
        <v>377</v>
      </c>
      <c r="F121" s="121" t="s">
        <v>378</v>
      </c>
      <c r="G121" s="122">
        <v>75723614</v>
      </c>
    </row>
    <row r="122" spans="2:7" ht="13.7" customHeight="1" thickBot="1">
      <c r="B122" s="26"/>
      <c r="C122" s="85" t="s">
        <v>379</v>
      </c>
      <c r="D122" s="94">
        <f>SUM(D112:D121)</f>
        <v>368504664</v>
      </c>
      <c r="E122" s="142" t="s">
        <v>380</v>
      </c>
      <c r="F122" s="78" t="s">
        <v>381</v>
      </c>
      <c r="G122" s="79">
        <v>6010538</v>
      </c>
    </row>
    <row r="123" spans="2:7" ht="13.7" customHeight="1" thickBot="1">
      <c r="B123" s="26" t="s">
        <v>382</v>
      </c>
      <c r="C123" s="123" t="s">
        <v>308</v>
      </c>
      <c r="D123" s="120">
        <v>641844</v>
      </c>
      <c r="E123" s="151"/>
      <c r="F123" s="85" t="s">
        <v>383</v>
      </c>
      <c r="G123" s="94">
        <f>SUM(G112:G122)</f>
        <v>245406728</v>
      </c>
    </row>
    <row r="124" spans="2:7" ht="13.7" customHeight="1">
      <c r="B124" s="26" t="s">
        <v>384</v>
      </c>
      <c r="C124" s="121" t="s">
        <v>312</v>
      </c>
      <c r="D124" s="122">
        <v>0</v>
      </c>
      <c r="E124" s="142" t="s">
        <v>385</v>
      </c>
      <c r="F124" s="121" t="s">
        <v>386</v>
      </c>
      <c r="G124" s="122">
        <v>0</v>
      </c>
    </row>
    <row r="125" spans="2:7" ht="13.7" customHeight="1">
      <c r="B125" s="26" t="s">
        <v>387</v>
      </c>
      <c r="C125" s="78" t="s">
        <v>388</v>
      </c>
      <c r="D125" s="122">
        <v>21639</v>
      </c>
      <c r="E125" s="142" t="s">
        <v>389</v>
      </c>
      <c r="F125" s="121" t="s">
        <v>390</v>
      </c>
      <c r="G125" s="122">
        <v>0</v>
      </c>
    </row>
    <row r="126" spans="2:7" ht="13.7" customHeight="1" thickBot="1">
      <c r="B126" s="26"/>
      <c r="C126" s="85" t="s">
        <v>391</v>
      </c>
      <c r="D126" s="94">
        <f>SUM(D123:D125)</f>
        <v>663483</v>
      </c>
      <c r="E126" s="142" t="s">
        <v>392</v>
      </c>
      <c r="F126" s="121" t="s">
        <v>393</v>
      </c>
      <c r="G126" s="122">
        <v>42373372</v>
      </c>
    </row>
    <row r="127" spans="2:7" ht="13.7" customHeight="1">
      <c r="B127" s="26" t="s">
        <v>394</v>
      </c>
      <c r="C127" s="119" t="s">
        <v>273</v>
      </c>
      <c r="D127" s="120">
        <v>0</v>
      </c>
      <c r="E127" s="142" t="s">
        <v>395</v>
      </c>
      <c r="F127" s="121" t="s">
        <v>396</v>
      </c>
      <c r="G127" s="122">
        <v>0</v>
      </c>
    </row>
    <row r="128" spans="2:7" ht="13.7" customHeight="1">
      <c r="B128" s="26" t="s">
        <v>397</v>
      </c>
      <c r="C128" s="121" t="s">
        <v>398</v>
      </c>
      <c r="D128" s="122">
        <v>0</v>
      </c>
      <c r="E128" s="142" t="s">
        <v>399</v>
      </c>
      <c r="F128" s="121" t="s">
        <v>400</v>
      </c>
      <c r="G128" s="122">
        <v>0</v>
      </c>
    </row>
    <row r="129" spans="2:7" ht="13.7" customHeight="1">
      <c r="B129" s="26" t="s">
        <v>401</v>
      </c>
      <c r="C129" s="121" t="s">
        <v>276</v>
      </c>
      <c r="D129" s="122">
        <v>7604856</v>
      </c>
      <c r="E129" s="142" t="s">
        <v>402</v>
      </c>
      <c r="F129" s="121" t="s">
        <v>403</v>
      </c>
      <c r="G129" s="122">
        <v>0</v>
      </c>
    </row>
    <row r="130" spans="2:7" ht="13.7" customHeight="1">
      <c r="B130" s="26" t="s">
        <v>404</v>
      </c>
      <c r="C130" s="121" t="s">
        <v>282</v>
      </c>
      <c r="D130" s="122">
        <v>962407</v>
      </c>
      <c r="E130" s="142" t="s">
        <v>405</v>
      </c>
      <c r="F130" s="121" t="s">
        <v>406</v>
      </c>
      <c r="G130" s="122">
        <v>0</v>
      </c>
    </row>
    <row r="131" spans="2:7" ht="13.7" customHeight="1">
      <c r="B131" s="26" t="s">
        <v>407</v>
      </c>
      <c r="C131" s="121" t="s">
        <v>286</v>
      </c>
      <c r="D131" s="122">
        <v>4585991</v>
      </c>
      <c r="E131" s="142" t="s">
        <v>408</v>
      </c>
      <c r="F131" s="121" t="s">
        <v>409</v>
      </c>
      <c r="G131" s="122">
        <v>0</v>
      </c>
    </row>
    <row r="132" spans="2:7" ht="13.7" customHeight="1">
      <c r="B132" s="26" t="s">
        <v>410</v>
      </c>
      <c r="C132" s="121" t="s">
        <v>290</v>
      </c>
      <c r="D132" s="122">
        <v>1194377</v>
      </c>
      <c r="E132" s="142" t="s">
        <v>411</v>
      </c>
      <c r="F132" s="121" t="s">
        <v>412</v>
      </c>
      <c r="G132" s="122">
        <v>0</v>
      </c>
    </row>
    <row r="133" spans="2:7" ht="13.7" customHeight="1">
      <c r="B133" s="26" t="s">
        <v>413</v>
      </c>
      <c r="C133" s="121" t="s">
        <v>294</v>
      </c>
      <c r="D133" s="122">
        <v>241213</v>
      </c>
      <c r="E133" s="142" t="s">
        <v>414</v>
      </c>
      <c r="F133" s="121" t="s">
        <v>415</v>
      </c>
      <c r="G133" s="122">
        <v>30762653</v>
      </c>
    </row>
    <row r="134" spans="2:7" ht="13.7" customHeight="1">
      <c r="B134" s="26" t="s">
        <v>416</v>
      </c>
      <c r="C134" s="121" t="s">
        <v>417</v>
      </c>
      <c r="D134" s="122">
        <v>72978862</v>
      </c>
      <c r="E134" s="142" t="s">
        <v>418</v>
      </c>
      <c r="F134" s="121" t="s">
        <v>419</v>
      </c>
      <c r="G134" s="122">
        <v>0</v>
      </c>
    </row>
    <row r="135" spans="2:7" ht="13.7" customHeight="1">
      <c r="B135" s="26" t="s">
        <v>420</v>
      </c>
      <c r="C135" s="121" t="s">
        <v>421</v>
      </c>
      <c r="D135" s="122">
        <v>142322079</v>
      </c>
      <c r="E135" s="142" t="s">
        <v>422</v>
      </c>
      <c r="F135" s="121" t="s">
        <v>423</v>
      </c>
      <c r="G135" s="122">
        <v>0</v>
      </c>
    </row>
    <row r="136" spans="2:7" ht="13.7" customHeight="1">
      <c r="B136" s="26" t="s">
        <v>424</v>
      </c>
      <c r="C136" s="121" t="s">
        <v>317</v>
      </c>
      <c r="D136" s="79">
        <v>25117334</v>
      </c>
      <c r="E136" s="142" t="s">
        <v>425</v>
      </c>
      <c r="F136" s="121" t="s">
        <v>426</v>
      </c>
      <c r="G136" s="122">
        <v>254000</v>
      </c>
    </row>
    <row r="137" spans="2:7" ht="13.7" customHeight="1">
      <c r="B137" s="26" t="s">
        <v>427</v>
      </c>
      <c r="C137" s="78" t="s">
        <v>319</v>
      </c>
      <c r="D137" s="124">
        <v>7268138</v>
      </c>
      <c r="E137" s="142" t="s">
        <v>428</v>
      </c>
      <c r="F137" s="121" t="s">
        <v>429</v>
      </c>
      <c r="G137" s="122">
        <v>103137449</v>
      </c>
    </row>
    <row r="138" spans="2:7" ht="13.7" customHeight="1" thickBot="1">
      <c r="B138" s="26"/>
      <c r="C138" s="85" t="s">
        <v>320</v>
      </c>
      <c r="D138" s="94">
        <f>SUM(D127:D137)</f>
        <v>262275257</v>
      </c>
      <c r="E138" s="142" t="s">
        <v>430</v>
      </c>
      <c r="F138" s="78" t="s">
        <v>431</v>
      </c>
      <c r="G138" s="79">
        <v>3360748</v>
      </c>
    </row>
    <row r="139" spans="2:7" ht="13.7" customHeight="1" thickBot="1">
      <c r="B139" s="26" t="s">
        <v>432</v>
      </c>
      <c r="C139" s="119" t="s">
        <v>326</v>
      </c>
      <c r="D139" s="120">
        <v>23815</v>
      </c>
      <c r="E139" s="125"/>
      <c r="F139" s="85" t="s">
        <v>433</v>
      </c>
      <c r="G139" s="94">
        <f>SUM(G124:G138)</f>
        <v>179888222</v>
      </c>
    </row>
    <row r="140" spans="2:7" ht="13.7" customHeight="1" thickBot="1">
      <c r="B140" s="26" t="s">
        <v>434</v>
      </c>
      <c r="C140" s="121" t="s">
        <v>328</v>
      </c>
      <c r="D140" s="122">
        <v>4162788</v>
      </c>
      <c r="E140" s="125"/>
      <c r="F140" s="110" t="s">
        <v>435</v>
      </c>
      <c r="G140" s="126">
        <f>G123-G139</f>
        <v>65518506</v>
      </c>
    </row>
    <row r="141" spans="2:7" ht="13.7" customHeight="1">
      <c r="B141" s="26" t="s">
        <v>436</v>
      </c>
      <c r="C141" s="78" t="s">
        <v>330</v>
      </c>
      <c r="D141" s="124">
        <v>145299</v>
      </c>
      <c r="E141" s="127"/>
      <c r="F141" s="116"/>
      <c r="G141" s="116"/>
    </row>
    <row r="142" spans="2:7" ht="13.7" customHeight="1" thickBot="1">
      <c r="B142" s="26"/>
      <c r="C142" s="85" t="s">
        <v>331</v>
      </c>
      <c r="D142" s="94">
        <f>SUM(D139:D141)</f>
        <v>4331902</v>
      </c>
      <c r="E142" s="127"/>
      <c r="F142" s="116"/>
      <c r="G142" s="116"/>
    </row>
    <row r="143" spans="2:7" ht="13.5" customHeight="1" thickBot="1">
      <c r="B143" s="26"/>
      <c r="C143" s="110" t="s">
        <v>332</v>
      </c>
      <c r="D143" s="126">
        <f>[5]Amortizaciones!D33</f>
        <v>11800777</v>
      </c>
      <c r="E143" s="142"/>
      <c r="F143" s="139" t="s">
        <v>437</v>
      </c>
      <c r="G143" s="153">
        <f>+[5]E.S.P.!D6</f>
        <v>2021</v>
      </c>
    </row>
    <row r="144" spans="2:7" ht="13.7" customHeight="1">
      <c r="B144" s="26" t="s">
        <v>438</v>
      </c>
      <c r="C144" s="119" t="s">
        <v>439</v>
      </c>
      <c r="D144" s="120">
        <v>14587893</v>
      </c>
      <c r="E144" s="142" t="s">
        <v>440</v>
      </c>
      <c r="F144" s="119" t="s">
        <v>441</v>
      </c>
      <c r="G144" s="120">
        <v>710122</v>
      </c>
    </row>
    <row r="145" spans="2:7" ht="13.7" customHeight="1">
      <c r="B145" s="26" t="s">
        <v>442</v>
      </c>
      <c r="C145" s="121" t="s">
        <v>443</v>
      </c>
      <c r="D145" s="122">
        <v>0</v>
      </c>
      <c r="E145" s="142" t="s">
        <v>444</v>
      </c>
      <c r="F145" s="121" t="s">
        <v>445</v>
      </c>
      <c r="G145" s="122">
        <v>0</v>
      </c>
    </row>
    <row r="146" spans="2:7" ht="13.7" customHeight="1">
      <c r="B146" s="26" t="s">
        <v>446</v>
      </c>
      <c r="C146" s="128" t="s">
        <v>447</v>
      </c>
      <c r="D146" s="122">
        <v>0</v>
      </c>
      <c r="E146" s="142" t="s">
        <v>448</v>
      </c>
      <c r="F146" s="121" t="s">
        <v>449</v>
      </c>
      <c r="G146" s="122">
        <v>0</v>
      </c>
    </row>
    <row r="147" spans="2:7" ht="13.7" customHeight="1">
      <c r="B147" s="26" t="s">
        <v>450</v>
      </c>
      <c r="C147" s="78" t="s">
        <v>451</v>
      </c>
      <c r="D147" s="124">
        <v>511826</v>
      </c>
      <c r="E147" s="142" t="s">
        <v>452</v>
      </c>
      <c r="F147" s="121" t="s">
        <v>453</v>
      </c>
      <c r="G147" s="122">
        <v>0</v>
      </c>
    </row>
    <row r="148" spans="2:7" ht="13.7" customHeight="1" thickBot="1">
      <c r="B148" s="26"/>
      <c r="C148" s="85" t="s">
        <v>518</v>
      </c>
      <c r="D148" s="94">
        <f>SUM(D144:D147)</f>
        <v>15099719</v>
      </c>
      <c r="E148" s="142" t="s">
        <v>454</v>
      </c>
      <c r="F148" s="121" t="s">
        <v>455</v>
      </c>
      <c r="G148" s="122">
        <v>0</v>
      </c>
    </row>
    <row r="149" spans="2:7" ht="13.7" customHeight="1">
      <c r="B149" s="26" t="s">
        <v>456</v>
      </c>
      <c r="C149" s="119" t="s">
        <v>457</v>
      </c>
      <c r="D149" s="120">
        <v>19231359</v>
      </c>
      <c r="E149" s="142" t="s">
        <v>458</v>
      </c>
      <c r="F149" s="121" t="s">
        <v>459</v>
      </c>
      <c r="G149" s="122">
        <v>0</v>
      </c>
    </row>
    <row r="150" spans="2:7" ht="13.7" customHeight="1">
      <c r="B150" s="26" t="s">
        <v>460</v>
      </c>
      <c r="C150" s="121" t="s">
        <v>461</v>
      </c>
      <c r="D150" s="122">
        <v>10886663</v>
      </c>
      <c r="E150" s="142" t="s">
        <v>462</v>
      </c>
      <c r="F150" s="121" t="s">
        <v>463</v>
      </c>
      <c r="G150" s="122">
        <v>0</v>
      </c>
    </row>
    <row r="151" spans="2:7" ht="13.7" customHeight="1">
      <c r="B151" s="26" t="s">
        <v>464</v>
      </c>
      <c r="C151" s="78" t="s">
        <v>465</v>
      </c>
      <c r="D151" s="124">
        <v>438445</v>
      </c>
      <c r="E151" s="142" t="s">
        <v>466</v>
      </c>
      <c r="F151" s="121" t="s">
        <v>467</v>
      </c>
      <c r="G151" s="122">
        <v>360235511</v>
      </c>
    </row>
    <row r="152" spans="2:7" ht="13.7" customHeight="1" thickBot="1">
      <c r="B152" s="26"/>
      <c r="C152" s="85" t="s">
        <v>516</v>
      </c>
      <c r="D152" s="94">
        <f>SUM(D149:D151)</f>
        <v>30556467</v>
      </c>
      <c r="E152" s="142" t="s">
        <v>469</v>
      </c>
      <c r="F152" s="121" t="s">
        <v>470</v>
      </c>
      <c r="G152" s="122">
        <v>7511860</v>
      </c>
    </row>
    <row r="153" spans="2:7" ht="15" customHeight="1" thickBot="1">
      <c r="B153" s="26"/>
      <c r="C153" s="110" t="s">
        <v>471</v>
      </c>
      <c r="D153" s="129">
        <f>D122+D126+D138+D142+D143+D148+D152</f>
        <v>693232269</v>
      </c>
      <c r="E153" s="142" t="s">
        <v>472</v>
      </c>
      <c r="F153" s="78" t="s">
        <v>473</v>
      </c>
      <c r="G153" s="79">
        <v>62218</v>
      </c>
    </row>
    <row r="154" spans="2:7" ht="13.7" customHeight="1" thickBot="1">
      <c r="B154" s="26"/>
      <c r="C154" s="116"/>
      <c r="D154" s="116"/>
      <c r="E154" s="142"/>
      <c r="F154" s="85" t="s">
        <v>474</v>
      </c>
      <c r="G154" s="94">
        <f>SUM(G144:G153)</f>
        <v>368519711</v>
      </c>
    </row>
    <row r="155" spans="2:7" ht="13.5" customHeight="1" thickBot="1">
      <c r="B155" s="26"/>
      <c r="C155" s="139" t="s">
        <v>475</v>
      </c>
      <c r="D155" s="147">
        <f>G109-D153</f>
        <v>152554106</v>
      </c>
      <c r="E155" s="142" t="s">
        <v>476</v>
      </c>
      <c r="F155" s="119" t="s">
        <v>477</v>
      </c>
      <c r="G155" s="120">
        <v>80678687</v>
      </c>
    </row>
    <row r="156" spans="2:7" ht="13.7" customHeight="1">
      <c r="C156" s="130"/>
      <c r="D156" s="130"/>
      <c r="E156" s="142" t="s">
        <v>478</v>
      </c>
      <c r="F156" s="121" t="s">
        <v>479</v>
      </c>
      <c r="G156" s="122">
        <v>229631827</v>
      </c>
    </row>
    <row r="157" spans="2:7" ht="13.7" customHeight="1">
      <c r="C157" s="130"/>
      <c r="D157" s="130"/>
      <c r="E157" s="142" t="s">
        <v>480</v>
      </c>
      <c r="F157" s="121" t="s">
        <v>481</v>
      </c>
      <c r="G157" s="122">
        <v>3163001</v>
      </c>
    </row>
    <row r="158" spans="2:7" ht="13.7" customHeight="1">
      <c r="C158" s="130"/>
      <c r="D158" s="130"/>
      <c r="E158" s="142" t="s">
        <v>482</v>
      </c>
      <c r="F158" s="121" t="s">
        <v>483</v>
      </c>
      <c r="G158" s="122">
        <v>0</v>
      </c>
    </row>
    <row r="159" spans="2:7" ht="13.7" customHeight="1">
      <c r="C159" s="130"/>
      <c r="D159" s="130"/>
      <c r="E159" s="142" t="s">
        <v>484</v>
      </c>
      <c r="F159" s="121" t="s">
        <v>485</v>
      </c>
      <c r="G159" s="122">
        <v>0</v>
      </c>
    </row>
    <row r="160" spans="2:7" ht="13.7" customHeight="1">
      <c r="C160" s="130"/>
      <c r="D160" s="130"/>
      <c r="E160" s="142" t="s">
        <v>486</v>
      </c>
      <c r="F160" s="121" t="s">
        <v>487</v>
      </c>
      <c r="G160" s="122">
        <v>1732501</v>
      </c>
    </row>
    <row r="161" spans="3:7" ht="13.7" customHeight="1">
      <c r="C161" s="130"/>
      <c r="D161" s="130"/>
      <c r="E161" s="142" t="s">
        <v>488</v>
      </c>
      <c r="F161" s="121" t="s">
        <v>489</v>
      </c>
      <c r="G161" s="122">
        <v>75807367</v>
      </c>
    </row>
    <row r="162" spans="3:7" ht="13.7" customHeight="1">
      <c r="C162" s="130"/>
      <c r="D162" s="130"/>
      <c r="E162" s="142" t="s">
        <v>490</v>
      </c>
      <c r="F162" s="121" t="s">
        <v>491</v>
      </c>
      <c r="G162" s="122">
        <v>0</v>
      </c>
    </row>
    <row r="163" spans="3:7" ht="13.7" customHeight="1">
      <c r="C163" s="130"/>
      <c r="D163" s="130"/>
      <c r="E163" s="142" t="s">
        <v>492</v>
      </c>
      <c r="F163" s="121" t="s">
        <v>493</v>
      </c>
      <c r="G163" s="122">
        <v>0</v>
      </c>
    </row>
    <row r="164" spans="3:7" ht="13.7" customHeight="1">
      <c r="C164" s="130"/>
      <c r="D164" s="130"/>
      <c r="E164" s="142" t="s">
        <v>494</v>
      </c>
      <c r="F164" s="121" t="s">
        <v>495</v>
      </c>
      <c r="G164" s="122">
        <v>0</v>
      </c>
    </row>
    <row r="165" spans="3:7" ht="13.7" customHeight="1">
      <c r="C165" s="130"/>
      <c r="D165" s="130"/>
      <c r="E165" s="142" t="s">
        <v>496</v>
      </c>
      <c r="F165" s="121" t="s">
        <v>497</v>
      </c>
      <c r="G165" s="122">
        <v>0</v>
      </c>
    </row>
    <row r="166" spans="3:7" ht="13.7" customHeight="1">
      <c r="C166" s="130"/>
      <c r="D166" s="130"/>
      <c r="E166" s="142" t="s">
        <v>498</v>
      </c>
      <c r="F166" s="121" t="s">
        <v>499</v>
      </c>
      <c r="G166" s="122">
        <v>0</v>
      </c>
    </row>
    <row r="167" spans="3:7" ht="13.7" customHeight="1">
      <c r="C167" s="130"/>
      <c r="D167" s="130"/>
      <c r="E167" s="142" t="s">
        <v>500</v>
      </c>
      <c r="F167" s="78" t="s">
        <v>501</v>
      </c>
      <c r="G167" s="79">
        <v>13121358</v>
      </c>
    </row>
    <row r="168" spans="3:7" ht="13.7" customHeight="1" thickBot="1">
      <c r="C168" s="130"/>
      <c r="D168" s="130"/>
      <c r="E168" s="142"/>
      <c r="F168" s="85" t="s">
        <v>502</v>
      </c>
      <c r="G168" s="94">
        <f>SUM(G155:G167)</f>
        <v>404134741</v>
      </c>
    </row>
    <row r="169" spans="3:7" ht="13.7" customHeight="1" thickBot="1">
      <c r="C169" s="130"/>
      <c r="D169" s="130"/>
      <c r="E169" s="142"/>
      <c r="F169" s="110" t="s">
        <v>503</v>
      </c>
      <c r="G169" s="126">
        <f>G154-G168</f>
        <v>-35615030</v>
      </c>
    </row>
    <row r="170" spans="3:7" ht="7.5" customHeight="1" thickBot="1">
      <c r="C170" s="130"/>
      <c r="D170" s="130"/>
      <c r="E170" s="142"/>
      <c r="F170" s="116"/>
      <c r="G170" s="116"/>
    </row>
    <row r="171" spans="3:7" ht="13.7" customHeight="1" thickBot="1">
      <c r="C171" s="130"/>
      <c r="D171" s="130"/>
      <c r="E171" s="142"/>
      <c r="F171" s="139" t="s">
        <v>504</v>
      </c>
      <c r="G171" s="154"/>
    </row>
    <row r="172" spans="3:7" ht="13.7" customHeight="1" thickBot="1">
      <c r="C172" s="130"/>
      <c r="D172" s="130"/>
      <c r="E172" s="142"/>
      <c r="F172" s="132"/>
      <c r="G172" s="133">
        <f>+D155+G140+G169</f>
        <v>182457582</v>
      </c>
    </row>
    <row r="173" spans="3:7" ht="9" customHeight="1" thickBot="1">
      <c r="C173" s="130"/>
      <c r="D173" s="130"/>
      <c r="E173" s="142"/>
      <c r="F173" s="134"/>
      <c r="G173" s="135"/>
    </row>
    <row r="174" spans="3:7" ht="15" customHeight="1" thickBot="1">
      <c r="C174" s="130"/>
      <c r="D174" s="130"/>
      <c r="E174" s="142"/>
      <c r="F174" s="139" t="s">
        <v>505</v>
      </c>
      <c r="G174" s="153">
        <f>+G143</f>
        <v>2021</v>
      </c>
    </row>
    <row r="175" spans="3:7" ht="13.7" customHeight="1">
      <c r="C175" s="130"/>
      <c r="D175" s="130"/>
      <c r="E175" s="142"/>
      <c r="F175" s="119" t="s">
        <v>506</v>
      </c>
      <c r="G175" s="120">
        <v>0</v>
      </c>
    </row>
    <row r="176" spans="3:7" ht="13.7" customHeight="1">
      <c r="C176" s="130"/>
      <c r="D176" s="130"/>
      <c r="E176" s="142"/>
      <c r="F176" s="121" t="s">
        <v>507</v>
      </c>
      <c r="G176" s="122">
        <v>0</v>
      </c>
    </row>
    <row r="177" spans="1:8" ht="13.7" customHeight="1" thickBot="1">
      <c r="C177" s="130"/>
      <c r="D177" s="130"/>
      <c r="E177" s="142"/>
      <c r="F177" s="121" t="s">
        <v>508</v>
      </c>
      <c r="G177" s="122">
        <f>+[5]E.C.P!E32</f>
        <v>74400746</v>
      </c>
    </row>
    <row r="178" spans="1:8" ht="13.7" customHeight="1" thickBot="1">
      <c r="C178" s="130"/>
      <c r="D178" s="130"/>
      <c r="E178" s="142"/>
      <c r="F178" s="139" t="s">
        <v>509</v>
      </c>
      <c r="G178" s="147">
        <f>SUM(G175:G177)</f>
        <v>74400746</v>
      </c>
    </row>
    <row r="179" spans="1:8" ht="9.75" customHeight="1" thickBot="1">
      <c r="C179" s="130"/>
      <c r="D179" s="130"/>
      <c r="E179" s="142"/>
      <c r="F179" s="116"/>
      <c r="G179" s="116"/>
    </row>
    <row r="180" spans="1:8" ht="14.25" customHeight="1" thickBot="1">
      <c r="C180" s="130"/>
      <c r="D180" s="130"/>
      <c r="E180" s="142"/>
      <c r="F180" s="139" t="s">
        <v>519</v>
      </c>
      <c r="G180" s="154"/>
    </row>
    <row r="181" spans="1:8" ht="16.5" customHeight="1" thickBot="1">
      <c r="C181" s="130"/>
      <c r="D181" s="130"/>
      <c r="E181" s="142"/>
      <c r="F181" s="132"/>
      <c r="G181" s="133">
        <f>+G172+G178</f>
        <v>256858328</v>
      </c>
    </row>
    <row r="182" spans="1:8" ht="13.7" customHeight="1"/>
    <row r="183" spans="1:8" ht="13.5" customHeight="1"/>
    <row r="184" spans="1:8" ht="13.7" customHeight="1">
      <c r="E184" s="41"/>
      <c r="F184" s="25"/>
      <c r="G184" s="25"/>
      <c r="H184" s="41"/>
    </row>
    <row r="185" spans="1:8" s="41" customFormat="1" ht="13.7" customHeight="1">
      <c r="A185" s="42"/>
      <c r="C185" s="25"/>
      <c r="D185" s="25"/>
      <c r="E185" s="34"/>
      <c r="F185" s="40"/>
      <c r="G185" s="40"/>
    </row>
    <row r="186" spans="1:8" s="41" customFormat="1">
      <c r="A186" s="42"/>
      <c r="C186" s="25"/>
      <c r="D186" s="25"/>
      <c r="E186" s="34"/>
      <c r="F186" s="40"/>
      <c r="G186" s="40"/>
    </row>
    <row r="187" spans="1:8" s="41" customFormat="1" hidden="1">
      <c r="A187" s="42"/>
      <c r="C187" s="25"/>
      <c r="D187" s="25"/>
      <c r="E187" s="34"/>
      <c r="F187" s="40"/>
      <c r="G187" s="40"/>
    </row>
    <row r="188" spans="1:8" s="41" customFormat="1" hidden="1">
      <c r="A188" s="42"/>
      <c r="C188" s="25"/>
      <c r="D188" s="25"/>
      <c r="E188" s="34"/>
      <c r="F188" s="40"/>
      <c r="G188" s="40"/>
    </row>
    <row r="189" spans="1:8" s="41" customFormat="1" hidden="1">
      <c r="A189" s="42"/>
      <c r="C189" s="25"/>
      <c r="D189" s="25"/>
      <c r="E189" s="34"/>
      <c r="F189" s="40"/>
      <c r="G189" s="40"/>
    </row>
    <row r="190" spans="1:8" s="41" customFormat="1" hidden="1">
      <c r="A190" s="42"/>
      <c r="C190" s="25"/>
      <c r="D190" s="25"/>
      <c r="E190" s="34"/>
      <c r="F190" s="40"/>
      <c r="G190" s="40"/>
    </row>
    <row r="191" spans="1:8" s="41" customFormat="1" hidden="1">
      <c r="A191" s="42"/>
      <c r="C191" s="25"/>
      <c r="D191" s="25"/>
      <c r="E191" s="34"/>
      <c r="F191" s="40"/>
      <c r="G191" s="40"/>
    </row>
    <row r="192" spans="1:8" s="41" customFormat="1" hidden="1">
      <c r="A192" s="42"/>
      <c r="C192" s="25"/>
      <c r="D192" s="25"/>
      <c r="E192" s="34"/>
      <c r="F192" s="40"/>
      <c r="G192" s="40"/>
    </row>
    <row r="193" spans="3:7" s="41" customFormat="1" hidden="1">
      <c r="C193" s="25"/>
      <c r="D193" s="25"/>
      <c r="E193" s="34"/>
      <c r="F193" s="40"/>
      <c r="G193" s="40"/>
    </row>
    <row r="194" spans="3:7" s="41" customFormat="1" hidden="1">
      <c r="C194" s="25"/>
      <c r="D194" s="25"/>
      <c r="E194" s="34"/>
      <c r="F194" s="40"/>
      <c r="G194" s="40"/>
    </row>
    <row r="195" spans="3:7" s="41" customFormat="1" hidden="1">
      <c r="C195" s="25"/>
      <c r="D195" s="25"/>
      <c r="E195" s="34"/>
      <c r="F195" s="40"/>
      <c r="G195" s="40"/>
    </row>
    <row r="196" spans="3:7" s="41" customFormat="1" hidden="1">
      <c r="C196" s="25"/>
      <c r="D196" s="25"/>
      <c r="E196" s="34"/>
      <c r="F196" s="40"/>
      <c r="G196" s="40"/>
    </row>
    <row r="197" spans="3:7" s="41" customFormat="1" hidden="1">
      <c r="C197" s="25"/>
      <c r="D197" s="25"/>
      <c r="E197" s="34"/>
      <c r="F197" s="40"/>
      <c r="G197" s="40"/>
    </row>
    <row r="198" spans="3:7" s="41" customFormat="1" hidden="1">
      <c r="C198" s="25"/>
      <c r="D198" s="25"/>
      <c r="E198" s="34"/>
      <c r="F198" s="40"/>
      <c r="G198" s="40"/>
    </row>
    <row r="199" spans="3:7" s="41" customFormat="1" hidden="1">
      <c r="C199" s="25"/>
      <c r="D199" s="25"/>
      <c r="E199" s="34"/>
      <c r="F199" s="40"/>
      <c r="G199" s="40"/>
    </row>
    <row r="200" spans="3:7" s="41" customFormat="1" hidden="1">
      <c r="C200" s="25"/>
      <c r="D200" s="25"/>
      <c r="E200" s="34"/>
      <c r="F200" s="40"/>
      <c r="G200" s="40"/>
    </row>
    <row r="201" spans="3:7" s="41" customFormat="1" hidden="1">
      <c r="C201" s="25"/>
      <c r="D201" s="25"/>
      <c r="E201" s="34"/>
      <c r="F201" s="40"/>
      <c r="G201" s="40"/>
    </row>
    <row r="202" spans="3:7" s="41" customFormat="1" hidden="1">
      <c r="C202" s="25"/>
      <c r="D202" s="25"/>
      <c r="E202" s="34"/>
      <c r="F202" s="40"/>
      <c r="G202" s="40"/>
    </row>
    <row r="203" spans="3:7" s="41" customFormat="1" hidden="1">
      <c r="C203" s="25"/>
      <c r="D203" s="25"/>
      <c r="E203" s="34"/>
      <c r="F203" s="40"/>
      <c r="G203" s="40"/>
    </row>
    <row r="204" spans="3:7" s="41" customFormat="1" hidden="1">
      <c r="C204" s="25"/>
      <c r="D204" s="25"/>
      <c r="E204" s="34"/>
      <c r="F204" s="40"/>
      <c r="G204" s="40"/>
    </row>
    <row r="205" spans="3:7" s="41" customFormat="1" hidden="1">
      <c r="C205" s="25"/>
      <c r="D205" s="25"/>
      <c r="E205" s="34"/>
      <c r="F205" s="40"/>
      <c r="G205" s="40"/>
    </row>
    <row r="206" spans="3:7" s="41" customFormat="1" hidden="1">
      <c r="C206" s="25"/>
      <c r="D206" s="25"/>
      <c r="E206" s="34"/>
      <c r="F206" s="40"/>
      <c r="G206" s="40"/>
    </row>
    <row r="207" spans="3:7" s="41" customFormat="1" hidden="1">
      <c r="C207" s="25"/>
      <c r="D207" s="25"/>
      <c r="E207" s="34"/>
      <c r="F207" s="40"/>
      <c r="G207" s="40"/>
    </row>
    <row r="208" spans="3:7" s="41" customFormat="1" hidden="1">
      <c r="C208" s="25"/>
      <c r="D208" s="25"/>
      <c r="E208" s="34"/>
      <c r="F208" s="40"/>
      <c r="G208" s="40"/>
    </row>
    <row r="209" spans="3:8" s="41" customFormat="1" hidden="1">
      <c r="C209" s="25"/>
      <c r="D209" s="25"/>
      <c r="E209" s="34"/>
      <c r="F209" s="40"/>
      <c r="G209" s="40"/>
    </row>
    <row r="210" spans="3:8" s="41" customFormat="1" hidden="1">
      <c r="C210" s="25"/>
      <c r="D210" s="25"/>
      <c r="E210" s="34"/>
      <c r="F210" s="40"/>
      <c r="G210" s="40"/>
    </row>
    <row r="211" spans="3:8" s="41" customFormat="1" hidden="1">
      <c r="C211" s="25"/>
      <c r="D211" s="25"/>
      <c r="E211" s="34"/>
      <c r="F211" s="40"/>
      <c r="G211" s="40"/>
    </row>
    <row r="212" spans="3:8" s="41" customFormat="1" hidden="1">
      <c r="C212" s="25"/>
      <c r="D212" s="25"/>
      <c r="E212" s="34"/>
      <c r="F212" s="40"/>
      <c r="G212" s="40"/>
    </row>
    <row r="213" spans="3:8" s="41" customFormat="1" hidden="1">
      <c r="C213" s="25"/>
      <c r="D213" s="25"/>
      <c r="E213" s="34"/>
      <c r="F213" s="40"/>
      <c r="G213" s="40"/>
    </row>
    <row r="214" spans="3:8" s="41" customFormat="1" hidden="1">
      <c r="C214" s="25"/>
      <c r="D214" s="25"/>
      <c r="E214" s="34"/>
      <c r="F214" s="40"/>
      <c r="G214" s="40"/>
      <c r="H214" s="25"/>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506" priority="22" stopIfTrue="1" operator="greaterThan">
      <formula>50</formula>
    </cfRule>
    <cfRule type="cellIs" dxfId="505" priority="31" stopIfTrue="1" operator="equal">
      <formula>0</formula>
    </cfRule>
  </conditionalFormatting>
  <conditionalFormatting sqref="D7:D28 D56:D59 D53:D54 D30:D51">
    <cfRule type="cellIs" dxfId="504" priority="29" stopIfTrue="1" operator="between">
      <formula>-0.1</formula>
      <formula>-50</formula>
    </cfRule>
    <cfRule type="cellIs" dxfId="503" priority="30" stopIfTrue="1" operator="between">
      <formula>0.1</formula>
      <formula>50</formula>
    </cfRule>
  </conditionalFormatting>
  <conditionalFormatting sqref="G152:G181 G7:G26 G28:G31 G34:G39 G41:G150">
    <cfRule type="cellIs" dxfId="502" priority="27" stopIfTrue="1" operator="between">
      <formula>-0.1</formula>
      <formula>-50</formula>
    </cfRule>
    <cfRule type="cellIs" dxfId="501" priority="28" stopIfTrue="1" operator="between">
      <formula>0.1</formula>
      <formula>50</formula>
    </cfRule>
  </conditionalFormatting>
  <conditionalFormatting sqref="D111:D135 D137:D155">
    <cfRule type="cellIs" dxfId="500" priority="25" stopIfTrue="1" operator="between">
      <formula>-0.1</formula>
      <formula>-50</formula>
    </cfRule>
    <cfRule type="cellIs" dxfId="499" priority="26" stopIfTrue="1" operator="between">
      <formula>0.1</formula>
      <formula>50</formula>
    </cfRule>
  </conditionalFormatting>
  <conditionalFormatting sqref="G165">
    <cfRule type="expression" dxfId="498" priority="24" stopIfTrue="1">
      <formula>AND($G$165&gt;0,$G$151&gt;0)</formula>
    </cfRule>
  </conditionalFormatting>
  <conditionalFormatting sqref="G151">
    <cfRule type="expression" dxfId="497" priority="21" stopIfTrue="1">
      <formula>AND($G$151&gt;0,$G$165&gt;0)</formula>
    </cfRule>
  </conditionalFormatting>
  <conditionalFormatting sqref="D136">
    <cfRule type="cellIs" dxfId="496" priority="19" stopIfTrue="1" operator="between">
      <formula>-0.1</formula>
      <formula>-50</formula>
    </cfRule>
    <cfRule type="cellIs" dxfId="495" priority="20" stopIfTrue="1" operator="between">
      <formula>0.1</formula>
      <formula>50</formula>
    </cfRule>
  </conditionalFormatting>
  <conditionalFormatting sqref="D55">
    <cfRule type="cellIs" dxfId="494" priority="17" stopIfTrue="1" operator="between">
      <formula>-0.1</formula>
      <formula>-50</formula>
    </cfRule>
    <cfRule type="cellIs" dxfId="493" priority="18" stopIfTrue="1" operator="between">
      <formula>0.1</formula>
      <formula>50</formula>
    </cfRule>
  </conditionalFormatting>
  <conditionalFormatting sqref="D60">
    <cfRule type="cellIs" dxfId="492" priority="15" stopIfTrue="1" operator="between">
      <formula>-0.1</formula>
      <formula>-50</formula>
    </cfRule>
    <cfRule type="cellIs" dxfId="491" priority="16" stopIfTrue="1" operator="between">
      <formula>0.1</formula>
      <formula>50</formula>
    </cfRule>
  </conditionalFormatting>
  <conditionalFormatting sqref="D61">
    <cfRule type="cellIs" dxfId="490" priority="13" stopIfTrue="1" operator="between">
      <formula>-0.1</formula>
      <formula>-50</formula>
    </cfRule>
    <cfRule type="cellIs" dxfId="489" priority="14" stopIfTrue="1" operator="between">
      <formula>0.1</formula>
      <formula>50</formula>
    </cfRule>
  </conditionalFormatting>
  <conditionalFormatting sqref="D52">
    <cfRule type="cellIs" dxfId="488" priority="11" stopIfTrue="1" operator="between">
      <formula>-0.1</formula>
      <formula>-50</formula>
    </cfRule>
    <cfRule type="cellIs" dxfId="487" priority="12" stopIfTrue="1" operator="between">
      <formula>0.1</formula>
      <formula>50</formula>
    </cfRule>
  </conditionalFormatting>
  <conditionalFormatting sqref="G27">
    <cfRule type="cellIs" dxfId="486" priority="9" stopIfTrue="1" operator="between">
      <formula>-0.1</formula>
      <formula>-50</formula>
    </cfRule>
    <cfRule type="cellIs" dxfId="485" priority="10" stopIfTrue="1" operator="between">
      <formula>0.1</formula>
      <formula>50</formula>
    </cfRule>
  </conditionalFormatting>
  <conditionalFormatting sqref="G32">
    <cfRule type="cellIs" dxfId="484" priority="7" stopIfTrue="1" operator="between">
      <formula>-0.1</formula>
      <formula>-50</formula>
    </cfRule>
    <cfRule type="cellIs" dxfId="483" priority="8" stopIfTrue="1" operator="between">
      <formula>0.1</formula>
      <formula>50</formula>
    </cfRule>
  </conditionalFormatting>
  <conditionalFormatting sqref="G33">
    <cfRule type="cellIs" dxfId="482" priority="5" stopIfTrue="1" operator="between">
      <formula>-0.1</formula>
      <formula>-50</formula>
    </cfRule>
    <cfRule type="cellIs" dxfId="481" priority="6" stopIfTrue="1" operator="between">
      <formula>0.1</formula>
      <formula>50</formula>
    </cfRule>
  </conditionalFormatting>
  <conditionalFormatting sqref="G40">
    <cfRule type="cellIs" dxfId="480" priority="3" stopIfTrue="1" operator="between">
      <formula>-0.1</formula>
      <formula>-50</formula>
    </cfRule>
    <cfRule type="cellIs" dxfId="479" priority="4" stopIfTrue="1" operator="between">
      <formula>0.1</formula>
      <formula>50</formula>
    </cfRule>
  </conditionalFormatting>
  <conditionalFormatting sqref="D29">
    <cfRule type="cellIs" dxfId="478" priority="1" stopIfTrue="1" operator="between">
      <formula>-0.1</formula>
      <formula>-50</formula>
    </cfRule>
    <cfRule type="cellIs" dxfId="477" priority="2" stopIfTrue="1" operator="between">
      <formula>0.1</formula>
      <formula>50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13:D55 G152:G164 G166:G181 G144:G150 D62:D1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84" numberStoredAsText="1"/>
    <ignoredError sqref="G177" unlockedFormula="1"/>
    <ignoredError sqref="G40" formulaRange="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topLeftCell="A49" zoomScaleNormal="100" zoomScaleSheetLayoutView="100" workbookViewId="0">
      <selection activeCell="A64" sqref="A64:XFD64"/>
    </sheetView>
  </sheetViews>
  <sheetFormatPr baseColWidth="10" defaultColWidth="0" defaultRowHeight="15.75" zeroHeight="1"/>
  <cols>
    <col min="1" max="1" width="3" style="1" customWidth="1"/>
    <col min="2" max="2" width="14.28515625" style="6" hidden="1" customWidth="1"/>
    <col min="3" max="3" width="56.140625" style="19" customWidth="1"/>
    <col min="4" max="4" width="21" style="19" customWidth="1"/>
    <col min="5" max="5" width="3.85546875" style="13" customWidth="1"/>
    <col min="6" max="6" width="57.28515625" style="19" customWidth="1"/>
    <col min="7" max="7" width="21" style="19" customWidth="1"/>
    <col min="8" max="8" width="3.42578125" style="4" customWidth="1"/>
    <col min="9" max="16384" width="0" style="4" hidden="1"/>
  </cols>
  <sheetData>
    <row r="1" spans="1:9">
      <c r="B1" s="2"/>
      <c r="C1" s="255" t="s">
        <v>0</v>
      </c>
      <c r="D1" s="258"/>
      <c r="E1" s="253" t="str">
        <f>[32]Presentacion!C3</f>
        <v>SOC. MED. QUIR. SALTO - IAMPP</v>
      </c>
      <c r="F1" s="253"/>
      <c r="G1" s="136"/>
      <c r="H1" s="3"/>
    </row>
    <row r="2" spans="1:9">
      <c r="B2" s="5"/>
      <c r="C2" s="255" t="s">
        <v>1</v>
      </c>
      <c r="D2" s="258"/>
      <c r="E2" s="253" t="str">
        <f>[32]Presentacion!C4</f>
        <v>Salto</v>
      </c>
      <c r="F2" s="253"/>
      <c r="G2" s="136"/>
      <c r="H2" s="3"/>
    </row>
    <row r="3" spans="1:9">
      <c r="B3" s="5"/>
      <c r="C3" s="255" t="s">
        <v>2</v>
      </c>
      <c r="D3" s="255"/>
      <c r="E3" s="254" t="s">
        <v>3</v>
      </c>
      <c r="F3" s="254"/>
      <c r="G3" s="136"/>
      <c r="H3" s="3"/>
    </row>
    <row r="4" spans="1:9" ht="13.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+[32]E.S.P.!D6</f>
        <v>2021</v>
      </c>
      <c r="E6" s="138"/>
      <c r="F6" s="75" t="s">
        <v>8</v>
      </c>
      <c r="G6" s="76">
        <f>+D6</f>
        <v>2021</v>
      </c>
      <c r="H6" s="12"/>
    </row>
    <row r="7" spans="1:9">
      <c r="B7" s="5" t="s">
        <v>9</v>
      </c>
      <c r="C7" s="78" t="s">
        <v>10</v>
      </c>
      <c r="D7" s="79">
        <v>44043936</v>
      </c>
      <c r="E7" s="138" t="s">
        <v>11</v>
      </c>
      <c r="F7" s="80" t="s">
        <v>12</v>
      </c>
      <c r="G7" s="81">
        <v>4680021</v>
      </c>
    </row>
    <row r="8" spans="1:9">
      <c r="B8" s="5" t="s">
        <v>13</v>
      </c>
      <c r="C8" s="78" t="s">
        <v>14</v>
      </c>
      <c r="D8" s="79">
        <v>127188887</v>
      </c>
      <c r="E8" s="138" t="s">
        <v>15</v>
      </c>
      <c r="F8" s="78" t="s">
        <v>16</v>
      </c>
      <c r="G8" s="82">
        <v>181256664</v>
      </c>
    </row>
    <row r="9" spans="1:9">
      <c r="B9" s="5" t="s">
        <v>17</v>
      </c>
      <c r="C9" s="78" t="s">
        <v>18</v>
      </c>
      <c r="D9" s="79">
        <v>1947390352.23</v>
      </c>
      <c r="E9" s="138" t="s">
        <v>19</v>
      </c>
      <c r="F9" s="78" t="s">
        <v>20</v>
      </c>
      <c r="G9" s="79">
        <v>84909058</v>
      </c>
    </row>
    <row r="10" spans="1:9">
      <c r="B10" s="5" t="s">
        <v>21</v>
      </c>
      <c r="C10" s="78" t="s">
        <v>22</v>
      </c>
      <c r="D10" s="79">
        <v>181366514</v>
      </c>
      <c r="E10" s="138" t="s">
        <v>23</v>
      </c>
      <c r="F10" s="78" t="s">
        <v>24</v>
      </c>
      <c r="G10" s="79">
        <v>255518013</v>
      </c>
    </row>
    <row r="11" spans="1:9">
      <c r="B11" s="5" t="s">
        <v>25</v>
      </c>
      <c r="C11" s="78" t="s">
        <v>26</v>
      </c>
      <c r="D11" s="79">
        <v>43089743</v>
      </c>
      <c r="E11" s="138" t="s">
        <v>27</v>
      </c>
      <c r="F11" s="78" t="s">
        <v>28</v>
      </c>
      <c r="G11" s="79">
        <v>249590589</v>
      </c>
    </row>
    <row r="12" spans="1:9">
      <c r="B12" s="5" t="s">
        <v>29</v>
      </c>
      <c r="C12" s="78" t="s">
        <v>30</v>
      </c>
      <c r="D12" s="79">
        <v>36569067</v>
      </c>
      <c r="E12" s="138" t="s">
        <v>31</v>
      </c>
      <c r="F12" s="78" t="s">
        <v>32</v>
      </c>
      <c r="G12" s="79">
        <v>72897807</v>
      </c>
    </row>
    <row r="13" spans="1:9">
      <c r="B13" s="5" t="s">
        <v>33</v>
      </c>
      <c r="C13" s="78" t="s">
        <v>34</v>
      </c>
      <c r="D13" s="79">
        <v>200702</v>
      </c>
      <c r="E13" s="138" t="s">
        <v>35</v>
      </c>
      <c r="F13" s="78" t="s">
        <v>36</v>
      </c>
      <c r="G13" s="79">
        <v>27257153</v>
      </c>
    </row>
    <row r="14" spans="1:9">
      <c r="A14" s="14"/>
      <c r="B14" s="5" t="s">
        <v>37</v>
      </c>
      <c r="C14" s="78" t="s">
        <v>38</v>
      </c>
      <c r="D14" s="79">
        <v>0</v>
      </c>
      <c r="E14" s="138" t="s">
        <v>39</v>
      </c>
      <c r="F14" s="78" t="s">
        <v>40</v>
      </c>
      <c r="G14" s="79">
        <v>211691953.32999998</v>
      </c>
    </row>
    <row r="15" spans="1:9">
      <c r="B15" s="5" t="s">
        <v>41</v>
      </c>
      <c r="C15" s="83" t="s">
        <v>42</v>
      </c>
      <c r="D15" s="79">
        <v>0</v>
      </c>
      <c r="E15" s="138" t="s">
        <v>43</v>
      </c>
      <c r="F15" s="78" t="s">
        <v>44</v>
      </c>
      <c r="G15" s="79"/>
    </row>
    <row r="16" spans="1:9">
      <c r="B16" s="5" t="s">
        <v>45</v>
      </c>
      <c r="C16" s="78" t="s">
        <v>46</v>
      </c>
      <c r="D16" s="79">
        <v>0</v>
      </c>
      <c r="E16" s="138" t="s">
        <v>47</v>
      </c>
      <c r="F16" s="78" t="s">
        <v>48</v>
      </c>
      <c r="G16" s="79">
        <v>50987951</v>
      </c>
    </row>
    <row r="17" spans="1:7">
      <c r="B17" s="5" t="s">
        <v>49</v>
      </c>
      <c r="C17" s="78" t="s">
        <v>50</v>
      </c>
      <c r="D17" s="79">
        <v>0</v>
      </c>
      <c r="E17" s="138" t="s">
        <v>51</v>
      </c>
      <c r="F17" s="78" t="s">
        <v>52</v>
      </c>
      <c r="G17" s="79">
        <v>0</v>
      </c>
    </row>
    <row r="18" spans="1:7">
      <c r="A18" s="14"/>
      <c r="B18" s="5" t="s">
        <v>53</v>
      </c>
      <c r="C18" s="78" t="s">
        <v>54</v>
      </c>
      <c r="D18" s="79">
        <v>8473763</v>
      </c>
      <c r="E18" s="138" t="s">
        <v>55</v>
      </c>
      <c r="F18" s="78" t="s">
        <v>56</v>
      </c>
      <c r="G18" s="84">
        <v>40128170</v>
      </c>
    </row>
    <row r="19" spans="1:7" ht="16.5" thickBot="1">
      <c r="A19" s="14"/>
      <c r="B19" s="5" t="s">
        <v>57</v>
      </c>
      <c r="C19" s="78" t="s">
        <v>58</v>
      </c>
      <c r="D19" s="79">
        <v>81116906</v>
      </c>
      <c r="E19" s="138"/>
      <c r="F19" s="85" t="s">
        <v>59</v>
      </c>
      <c r="G19" s="86">
        <f>SUM(G7:G18)</f>
        <v>1178917379.3299999</v>
      </c>
    </row>
    <row r="20" spans="1:7" ht="16.5" thickBot="1">
      <c r="B20" s="5"/>
      <c r="C20" s="85" t="s">
        <v>60</v>
      </c>
      <c r="D20" s="86">
        <f>SUM(D7:D19)</f>
        <v>2469439870.23</v>
      </c>
      <c r="E20" s="138" t="s">
        <v>61</v>
      </c>
      <c r="F20" s="80" t="s">
        <v>62</v>
      </c>
      <c r="G20" s="81">
        <v>337832</v>
      </c>
    </row>
    <row r="21" spans="1:7">
      <c r="B21" s="5"/>
      <c r="C21" s="87" t="s">
        <v>63</v>
      </c>
      <c r="D21" s="88">
        <f>SUM(D22:D28)</f>
        <v>26779860</v>
      </c>
      <c r="E21" s="138" t="s">
        <v>64</v>
      </c>
      <c r="F21" s="78" t="s">
        <v>65</v>
      </c>
      <c r="G21" s="79">
        <v>55675103</v>
      </c>
    </row>
    <row r="22" spans="1:7">
      <c r="B22" s="5" t="s">
        <v>66</v>
      </c>
      <c r="C22" s="78" t="s">
        <v>67</v>
      </c>
      <c r="D22" s="79">
        <v>17661569</v>
      </c>
      <c r="E22" s="138" t="s">
        <v>68</v>
      </c>
      <c r="F22" s="78" t="s">
        <v>69</v>
      </c>
      <c r="G22" s="79">
        <v>4359790</v>
      </c>
    </row>
    <row r="23" spans="1:7">
      <c r="B23" s="5" t="s">
        <v>70</v>
      </c>
      <c r="C23" s="78" t="s">
        <v>71</v>
      </c>
      <c r="D23" s="79">
        <v>2257214</v>
      </c>
      <c r="E23" s="138" t="s">
        <v>72</v>
      </c>
      <c r="F23" s="78" t="s">
        <v>73</v>
      </c>
      <c r="G23" s="79">
        <v>11434573</v>
      </c>
    </row>
    <row r="24" spans="1:7">
      <c r="B24" s="5" t="s">
        <v>74</v>
      </c>
      <c r="C24" s="78" t="s">
        <v>75</v>
      </c>
      <c r="D24" s="79">
        <f>5200821-1228662-48371</f>
        <v>3923788</v>
      </c>
      <c r="E24" s="138" t="s">
        <v>76</v>
      </c>
      <c r="F24" s="78" t="s">
        <v>77</v>
      </c>
      <c r="G24" s="79">
        <v>16558783</v>
      </c>
    </row>
    <row r="25" spans="1:7">
      <c r="B25" s="5" t="s">
        <v>78</v>
      </c>
      <c r="C25" s="78" t="s">
        <v>79</v>
      </c>
      <c r="D25" s="79">
        <v>0</v>
      </c>
      <c r="E25" s="138" t="s">
        <v>80</v>
      </c>
      <c r="F25" s="78" t="s">
        <v>81</v>
      </c>
      <c r="G25" s="79">
        <v>10686923.800000001</v>
      </c>
    </row>
    <row r="26" spans="1:7">
      <c r="B26" s="5" t="s">
        <v>82</v>
      </c>
      <c r="C26" s="78" t="s">
        <v>83</v>
      </c>
      <c r="D26" s="79">
        <f>652315-1855</f>
        <v>650460</v>
      </c>
      <c r="E26" s="138" t="s">
        <v>84</v>
      </c>
      <c r="F26" s="78" t="s">
        <v>85</v>
      </c>
      <c r="G26" s="84">
        <v>4042756</v>
      </c>
    </row>
    <row r="27" spans="1:7" ht="13.5" customHeight="1" thickBot="1">
      <c r="B27" s="5" t="s">
        <v>86</v>
      </c>
      <c r="C27" s="78" t="s">
        <v>87</v>
      </c>
      <c r="D27" s="79">
        <v>0</v>
      </c>
      <c r="E27" s="138"/>
      <c r="F27" s="85" t="s">
        <v>88</v>
      </c>
      <c r="G27" s="86">
        <f>SUM(G20:G26)</f>
        <v>103095760.8</v>
      </c>
    </row>
    <row r="28" spans="1:7">
      <c r="B28" s="5" t="s">
        <v>89</v>
      </c>
      <c r="C28" s="78" t="s">
        <v>90</v>
      </c>
      <c r="D28" s="79">
        <v>2286829</v>
      </c>
      <c r="E28" s="138" t="s">
        <v>91</v>
      </c>
      <c r="F28" s="80" t="s">
        <v>92</v>
      </c>
      <c r="G28" s="81">
        <v>89362964</v>
      </c>
    </row>
    <row r="29" spans="1:7">
      <c r="B29" s="5"/>
      <c r="C29" s="89" t="s">
        <v>93</v>
      </c>
      <c r="D29" s="88">
        <f>SUM(D30:D34)</f>
        <v>152958388</v>
      </c>
      <c r="E29" s="138" t="s">
        <v>94</v>
      </c>
      <c r="F29" s="78" t="s">
        <v>95</v>
      </c>
      <c r="G29" s="79">
        <v>0</v>
      </c>
    </row>
    <row r="30" spans="1:7">
      <c r="B30" s="5" t="s">
        <v>96</v>
      </c>
      <c r="C30" s="78" t="s">
        <v>97</v>
      </c>
      <c r="D30" s="79">
        <v>121879184</v>
      </c>
      <c r="E30" s="138" t="s">
        <v>98</v>
      </c>
      <c r="F30" s="78" t="s">
        <v>99</v>
      </c>
      <c r="G30" s="79">
        <v>4866359</v>
      </c>
    </row>
    <row r="31" spans="1:7">
      <c r="B31" s="5" t="s">
        <v>100</v>
      </c>
      <c r="C31" s="78" t="s">
        <v>101</v>
      </c>
      <c r="D31" s="79">
        <v>26156760</v>
      </c>
      <c r="E31" s="138" t="s">
        <v>102</v>
      </c>
      <c r="F31" s="78" t="s">
        <v>103</v>
      </c>
      <c r="G31" s="84">
        <v>1807796</v>
      </c>
    </row>
    <row r="32" spans="1:7" ht="16.5" thickBot="1">
      <c r="B32" s="5" t="s">
        <v>104</v>
      </c>
      <c r="C32" s="78" t="s">
        <v>105</v>
      </c>
      <c r="D32" s="79">
        <v>0</v>
      </c>
      <c r="E32" s="138"/>
      <c r="F32" s="85" t="s">
        <v>106</v>
      </c>
      <c r="G32" s="86">
        <f>SUM(G28:G31)</f>
        <v>96037119</v>
      </c>
    </row>
    <row r="33" spans="2:7">
      <c r="B33" s="5" t="s">
        <v>107</v>
      </c>
      <c r="C33" s="78" t="s">
        <v>108</v>
      </c>
      <c r="D33" s="79">
        <v>0</v>
      </c>
      <c r="E33" s="138"/>
      <c r="F33" s="89" t="s">
        <v>109</v>
      </c>
      <c r="G33" s="88">
        <f>SUM(G34:G39)</f>
        <v>175099837</v>
      </c>
    </row>
    <row r="34" spans="2:7">
      <c r="B34" s="5" t="s">
        <v>110</v>
      </c>
      <c r="C34" s="78" t="s">
        <v>111</v>
      </c>
      <c r="D34" s="79">
        <v>4922444</v>
      </c>
      <c r="E34" s="138" t="s">
        <v>112</v>
      </c>
      <c r="F34" s="78" t="s">
        <v>113</v>
      </c>
      <c r="G34" s="79">
        <v>8705144</v>
      </c>
    </row>
    <row r="35" spans="2:7" ht="16.5" thickBot="1">
      <c r="B35" s="5"/>
      <c r="C35" s="85" t="s">
        <v>114</v>
      </c>
      <c r="D35" s="86">
        <f>+D21+D29</f>
        <v>179738248</v>
      </c>
      <c r="E35" s="138" t="s">
        <v>115</v>
      </c>
      <c r="F35" s="78" t="s">
        <v>116</v>
      </c>
      <c r="G35" s="79">
        <v>6074103</v>
      </c>
    </row>
    <row r="36" spans="2:7">
      <c r="B36" s="5" t="s">
        <v>117</v>
      </c>
      <c r="C36" s="78" t="s">
        <v>118</v>
      </c>
      <c r="D36" s="79">
        <v>0</v>
      </c>
      <c r="E36" s="138" t="s">
        <v>119</v>
      </c>
      <c r="F36" s="78" t="s">
        <v>517</v>
      </c>
      <c r="G36" s="79">
        <v>6335793</v>
      </c>
    </row>
    <row r="37" spans="2:7">
      <c r="B37" s="5" t="s">
        <v>120</v>
      </c>
      <c r="C37" s="78" t="s">
        <v>121</v>
      </c>
      <c r="D37" s="79">
        <v>0</v>
      </c>
      <c r="E37" s="138" t="s">
        <v>122</v>
      </c>
      <c r="F37" s="78" t="s">
        <v>123</v>
      </c>
      <c r="G37" s="79">
        <v>14882667</v>
      </c>
    </row>
    <row r="38" spans="2:7">
      <c r="B38" s="5" t="s">
        <v>124</v>
      </c>
      <c r="C38" s="78" t="s">
        <v>125</v>
      </c>
      <c r="D38" s="79">
        <v>0</v>
      </c>
      <c r="E38" s="138" t="s">
        <v>126</v>
      </c>
      <c r="F38" s="78" t="s">
        <v>127</v>
      </c>
      <c r="G38" s="79">
        <v>28534702</v>
      </c>
    </row>
    <row r="39" spans="2:7">
      <c r="B39" s="5" t="s">
        <v>128</v>
      </c>
      <c r="C39" s="78" t="s">
        <v>129</v>
      </c>
      <c r="D39" s="79">
        <v>0</v>
      </c>
      <c r="E39" s="138" t="s">
        <v>130</v>
      </c>
      <c r="F39" s="78" t="s">
        <v>131</v>
      </c>
      <c r="G39" s="79">
        <v>110567428</v>
      </c>
    </row>
    <row r="40" spans="2:7">
      <c r="B40" s="5" t="s">
        <v>132</v>
      </c>
      <c r="C40" s="78" t="s">
        <v>133</v>
      </c>
      <c r="D40" s="79">
        <v>0</v>
      </c>
      <c r="E40" s="138"/>
      <c r="F40" s="90" t="s">
        <v>134</v>
      </c>
      <c r="G40" s="91">
        <f>SUM(G41:G46)</f>
        <v>54724125</v>
      </c>
    </row>
    <row r="41" spans="2:7">
      <c r="B41" s="5" t="s">
        <v>135</v>
      </c>
      <c r="C41" s="78" t="s">
        <v>136</v>
      </c>
      <c r="D41" s="79">
        <v>143872515</v>
      </c>
      <c r="E41" s="138" t="s">
        <v>137</v>
      </c>
      <c r="F41" s="78" t="s">
        <v>138</v>
      </c>
      <c r="G41" s="79">
        <v>2521889</v>
      </c>
    </row>
    <row r="42" spans="2:7">
      <c r="B42" s="5" t="s">
        <v>139</v>
      </c>
      <c r="C42" s="78" t="s">
        <v>140</v>
      </c>
      <c r="D42" s="79">
        <v>155885099</v>
      </c>
      <c r="E42" s="138" t="s">
        <v>141</v>
      </c>
      <c r="F42" s="78" t="s">
        <v>142</v>
      </c>
      <c r="G42" s="79">
        <v>0</v>
      </c>
    </row>
    <row r="43" spans="2:7">
      <c r="B43" s="5" t="s">
        <v>143</v>
      </c>
      <c r="C43" s="78" t="s">
        <v>144</v>
      </c>
      <c r="D43" s="79">
        <v>0</v>
      </c>
      <c r="E43" s="138" t="s">
        <v>145</v>
      </c>
      <c r="F43" s="78" t="s">
        <v>146</v>
      </c>
      <c r="G43" s="79">
        <v>6434076</v>
      </c>
    </row>
    <row r="44" spans="2:7">
      <c r="B44" s="5" t="s">
        <v>147</v>
      </c>
      <c r="C44" s="78" t="s">
        <v>148</v>
      </c>
      <c r="D44" s="79">
        <v>453354</v>
      </c>
      <c r="E44" s="138" t="s">
        <v>149</v>
      </c>
      <c r="F44" s="78" t="s">
        <v>150</v>
      </c>
      <c r="G44" s="79">
        <v>2764121</v>
      </c>
    </row>
    <row r="45" spans="2:7">
      <c r="B45" s="5" t="s">
        <v>151</v>
      </c>
      <c r="C45" s="78" t="s">
        <v>152</v>
      </c>
      <c r="D45" s="79">
        <v>0</v>
      </c>
      <c r="E45" s="138" t="s">
        <v>153</v>
      </c>
      <c r="F45" s="78" t="s">
        <v>154</v>
      </c>
      <c r="G45" s="79">
        <v>3182326</v>
      </c>
    </row>
    <row r="46" spans="2:7">
      <c r="B46" s="5" t="s">
        <v>155</v>
      </c>
      <c r="C46" s="78" t="s">
        <v>156</v>
      </c>
      <c r="D46" s="79">
        <v>9421670</v>
      </c>
      <c r="E46" s="138" t="s">
        <v>157</v>
      </c>
      <c r="F46" s="78" t="s">
        <v>158</v>
      </c>
      <c r="G46" s="79">
        <v>39821713</v>
      </c>
    </row>
    <row r="47" spans="2:7" ht="16.5" thickBot="1">
      <c r="B47" s="5"/>
      <c r="C47" s="85" t="s">
        <v>159</v>
      </c>
      <c r="D47" s="86">
        <f>SUM(D36:D46)</f>
        <v>309632638</v>
      </c>
      <c r="E47" s="138" t="s">
        <v>160</v>
      </c>
      <c r="F47" s="78" t="s">
        <v>161</v>
      </c>
      <c r="G47" s="84">
        <v>10461771</v>
      </c>
    </row>
    <row r="48" spans="2:7" ht="16.5" thickBot="1">
      <c r="B48" s="5"/>
      <c r="C48" s="92" t="s">
        <v>162</v>
      </c>
      <c r="D48" s="93"/>
      <c r="E48" s="138"/>
      <c r="F48" s="85" t="s">
        <v>163</v>
      </c>
      <c r="G48" s="94">
        <f>+G33+G40+G47</f>
        <v>240285733</v>
      </c>
    </row>
    <row r="49" spans="2:7">
      <c r="B49" s="5" t="s">
        <v>164</v>
      </c>
      <c r="C49" s="95" t="s">
        <v>165</v>
      </c>
      <c r="D49" s="96">
        <v>0</v>
      </c>
      <c r="E49" s="138" t="s">
        <v>166</v>
      </c>
      <c r="F49" s="80" t="s">
        <v>167</v>
      </c>
      <c r="G49" s="81">
        <v>0</v>
      </c>
    </row>
    <row r="50" spans="2:7">
      <c r="B50" s="5" t="s">
        <v>168</v>
      </c>
      <c r="C50" s="78" t="s">
        <v>162</v>
      </c>
      <c r="D50" s="79">
        <v>15192972</v>
      </c>
      <c r="E50" s="138" t="s">
        <v>169</v>
      </c>
      <c r="F50" s="78" t="s">
        <v>170</v>
      </c>
      <c r="G50" s="79">
        <v>105662706.56</v>
      </c>
    </row>
    <row r="51" spans="2:7">
      <c r="B51" s="5" t="s">
        <v>171</v>
      </c>
      <c r="C51" s="78" t="s">
        <v>172</v>
      </c>
      <c r="D51" s="84">
        <v>0</v>
      </c>
      <c r="E51" s="138" t="s">
        <v>173</v>
      </c>
      <c r="F51" s="78" t="s">
        <v>174</v>
      </c>
      <c r="G51" s="79">
        <v>3141788</v>
      </c>
    </row>
    <row r="52" spans="2:7" ht="16.5" thickBot="1">
      <c r="B52" s="11"/>
      <c r="C52" s="85" t="s">
        <v>175</v>
      </c>
      <c r="D52" s="86">
        <f>SUM(D49:D51)</f>
        <v>15192972</v>
      </c>
      <c r="E52" s="138" t="s">
        <v>176</v>
      </c>
      <c r="F52" s="78" t="s">
        <v>177</v>
      </c>
      <c r="G52" s="79">
        <v>3170611</v>
      </c>
    </row>
    <row r="53" spans="2:7" ht="16.5" thickBot="1">
      <c r="B53" s="5"/>
      <c r="C53" s="75" t="s">
        <v>178</v>
      </c>
      <c r="D53" s="97">
        <f>D20+D35+D47+D52</f>
        <v>2974003728.23</v>
      </c>
      <c r="E53" s="138" t="s">
        <v>179</v>
      </c>
      <c r="F53" s="78" t="s">
        <v>180</v>
      </c>
      <c r="G53" s="79">
        <v>0</v>
      </c>
    </row>
    <row r="54" spans="2:7">
      <c r="C54" s="98"/>
      <c r="D54" s="99"/>
      <c r="E54" s="138" t="s">
        <v>181</v>
      </c>
      <c r="F54" s="78" t="s">
        <v>182</v>
      </c>
      <c r="G54" s="79">
        <v>4140665</v>
      </c>
    </row>
    <row r="55" spans="2:7">
      <c r="C55" s="100" t="s">
        <v>183</v>
      </c>
      <c r="D55" s="101"/>
      <c r="E55" s="138" t="s">
        <v>184</v>
      </c>
      <c r="F55" s="78" t="s">
        <v>185</v>
      </c>
      <c r="G55" s="79">
        <v>0</v>
      </c>
    </row>
    <row r="56" spans="2:7">
      <c r="B56" s="5" t="s">
        <v>186</v>
      </c>
      <c r="C56" s="102" t="s">
        <v>187</v>
      </c>
      <c r="D56" s="79"/>
      <c r="E56" s="138" t="s">
        <v>188</v>
      </c>
      <c r="F56" s="78" t="s">
        <v>189</v>
      </c>
      <c r="G56" s="84">
        <v>10389736</v>
      </c>
    </row>
    <row r="57" spans="2:7" ht="14.25" customHeight="1" thickBot="1">
      <c r="B57" s="5" t="s">
        <v>190</v>
      </c>
      <c r="C57" s="102" t="s">
        <v>191</v>
      </c>
      <c r="D57" s="79"/>
      <c r="E57" s="138"/>
      <c r="F57" s="85" t="s">
        <v>192</v>
      </c>
      <c r="G57" s="86">
        <f>SUM(G49:G56)</f>
        <v>126505506.56</v>
      </c>
    </row>
    <row r="58" spans="2:7">
      <c r="B58" s="5" t="s">
        <v>193</v>
      </c>
      <c r="C58" s="102" t="s">
        <v>194</v>
      </c>
      <c r="D58" s="79"/>
      <c r="E58" s="138" t="s">
        <v>195</v>
      </c>
      <c r="F58" s="80" t="s">
        <v>196</v>
      </c>
      <c r="G58" s="81">
        <v>0</v>
      </c>
    </row>
    <row r="59" spans="2:7">
      <c r="B59" s="5" t="s">
        <v>197</v>
      </c>
      <c r="C59" s="78" t="s">
        <v>198</v>
      </c>
      <c r="D59" s="84"/>
      <c r="E59" s="138" t="s">
        <v>199</v>
      </c>
      <c r="F59" s="78" t="s">
        <v>200</v>
      </c>
      <c r="G59" s="79">
        <v>222250072</v>
      </c>
    </row>
    <row r="60" spans="2:7" ht="16.5" thickBot="1">
      <c r="B60" s="5"/>
      <c r="C60" s="85" t="s">
        <v>201</v>
      </c>
      <c r="D60" s="86">
        <f>SUM(D56:D59)</f>
        <v>0</v>
      </c>
      <c r="E60" s="138" t="s">
        <v>202</v>
      </c>
      <c r="F60" s="78" t="s">
        <v>203</v>
      </c>
      <c r="G60" s="79">
        <v>72121194</v>
      </c>
    </row>
    <row r="61" spans="2:7" ht="16.5" thickBot="1">
      <c r="B61" s="15"/>
      <c r="C61" s="72" t="s">
        <v>204</v>
      </c>
      <c r="D61" s="103">
        <f>D53+D60</f>
        <v>2974003728.23</v>
      </c>
      <c r="E61" s="138" t="s">
        <v>205</v>
      </c>
      <c r="F61" s="78" t="s">
        <v>206</v>
      </c>
      <c r="G61" s="79">
        <v>18010712</v>
      </c>
    </row>
    <row r="62" spans="2:7">
      <c r="B62" s="16"/>
      <c r="C62" s="116"/>
      <c r="D62" s="116"/>
      <c r="E62" s="138" t="s">
        <v>207</v>
      </c>
      <c r="F62" s="78" t="s">
        <v>208</v>
      </c>
      <c r="G62" s="79">
        <v>0</v>
      </c>
    </row>
    <row r="63" spans="2:7">
      <c r="B63" s="17"/>
      <c r="C63" s="222" t="s">
        <v>8</v>
      </c>
      <c r="D63" s="222"/>
      <c r="E63" s="138" t="s">
        <v>209</v>
      </c>
      <c r="F63" s="78" t="s">
        <v>210</v>
      </c>
      <c r="G63" s="79">
        <v>90220332</v>
      </c>
    </row>
    <row r="64" spans="2:7">
      <c r="B64" s="18" t="s">
        <v>211</v>
      </c>
      <c r="C64" s="223" t="s">
        <v>212</v>
      </c>
      <c r="D64" s="223">
        <f>[32]Amortizaciones!D6</f>
        <v>23909506.280000001</v>
      </c>
      <c r="E64" s="138" t="s">
        <v>213</v>
      </c>
      <c r="F64" s="78" t="s">
        <v>214</v>
      </c>
      <c r="G64" s="79">
        <v>0</v>
      </c>
    </row>
    <row r="65" spans="2:7">
      <c r="B65" s="18" t="s">
        <v>215</v>
      </c>
      <c r="C65" s="223" t="s">
        <v>216</v>
      </c>
      <c r="D65" s="223">
        <f>[32]Amortizaciones!D7</f>
        <v>0</v>
      </c>
      <c r="E65" s="138" t="s">
        <v>217</v>
      </c>
      <c r="F65" s="78" t="s">
        <v>218</v>
      </c>
      <c r="G65" s="79">
        <v>71404264</v>
      </c>
    </row>
    <row r="66" spans="2:7">
      <c r="B66" s="18" t="s">
        <v>219</v>
      </c>
      <c r="C66" s="223" t="s">
        <v>220</v>
      </c>
      <c r="D66" s="223">
        <f>[32]Amortizaciones!D8</f>
        <v>29779293</v>
      </c>
      <c r="E66" s="138" t="s">
        <v>221</v>
      </c>
      <c r="F66" s="78" t="s">
        <v>222</v>
      </c>
      <c r="G66" s="79">
        <v>6505783</v>
      </c>
    </row>
    <row r="67" spans="2:7">
      <c r="B67" s="18" t="s">
        <v>223</v>
      </c>
      <c r="C67" s="223" t="s">
        <v>224</v>
      </c>
      <c r="D67" s="223">
        <f>[32]Amortizaciones!D9</f>
        <v>1235000</v>
      </c>
      <c r="E67" s="138" t="s">
        <v>225</v>
      </c>
      <c r="F67" s="78" t="s">
        <v>226</v>
      </c>
      <c r="G67" s="79">
        <v>15667421</v>
      </c>
    </row>
    <row r="68" spans="2:7">
      <c r="B68" s="18" t="s">
        <v>227</v>
      </c>
      <c r="C68" s="223" t="s">
        <v>228</v>
      </c>
      <c r="D68" s="223">
        <f>[32]Amortizaciones!D10</f>
        <v>0</v>
      </c>
      <c r="E68" s="138" t="s">
        <v>229</v>
      </c>
      <c r="F68" s="78" t="s">
        <v>230</v>
      </c>
      <c r="G68" s="79">
        <v>0</v>
      </c>
    </row>
    <row r="69" spans="2:7">
      <c r="B69" s="18" t="s">
        <v>231</v>
      </c>
      <c r="C69" s="223" t="s">
        <v>232</v>
      </c>
      <c r="D69" s="223">
        <f>[32]Amortizaciones!D11</f>
        <v>0</v>
      </c>
      <c r="E69" s="138" t="s">
        <v>233</v>
      </c>
      <c r="F69" s="78" t="s">
        <v>234</v>
      </c>
      <c r="G69" s="79">
        <v>0</v>
      </c>
    </row>
    <row r="70" spans="2:7">
      <c r="B70" s="18" t="s">
        <v>235</v>
      </c>
      <c r="C70" s="223" t="s">
        <v>236</v>
      </c>
      <c r="D70" s="223">
        <f>[32]Amortizaciones!D12</f>
        <v>0</v>
      </c>
      <c r="E70" s="138" t="s">
        <v>237</v>
      </c>
      <c r="F70" s="78" t="s">
        <v>238</v>
      </c>
      <c r="G70" s="79">
        <v>0</v>
      </c>
    </row>
    <row r="71" spans="2:7">
      <c r="B71" s="18" t="s">
        <v>239</v>
      </c>
      <c r="C71" s="223" t="s">
        <v>240</v>
      </c>
      <c r="D71" s="223">
        <f>[32]Amortizaciones!D13</f>
        <v>984546</v>
      </c>
      <c r="E71" s="138" t="s">
        <v>241</v>
      </c>
      <c r="F71" s="78" t="s">
        <v>242</v>
      </c>
      <c r="G71" s="79">
        <v>0</v>
      </c>
    </row>
    <row r="72" spans="2:7">
      <c r="B72" s="18" t="s">
        <v>243</v>
      </c>
      <c r="C72" s="223" t="s">
        <v>244</v>
      </c>
      <c r="D72" s="223">
        <f>[32]Amortizaciones!D14</f>
        <v>0</v>
      </c>
      <c r="E72" s="138" t="s">
        <v>245</v>
      </c>
      <c r="F72" s="78" t="s">
        <v>246</v>
      </c>
      <c r="G72" s="79">
        <v>12780335</v>
      </c>
    </row>
    <row r="73" spans="2:7">
      <c r="B73" s="18" t="s">
        <v>247</v>
      </c>
      <c r="C73" s="223" t="s">
        <v>248</v>
      </c>
      <c r="D73" s="223">
        <f>[32]Amortizaciones!D15</f>
        <v>0</v>
      </c>
      <c r="E73" s="138" t="s">
        <v>249</v>
      </c>
      <c r="F73" s="78" t="s">
        <v>250</v>
      </c>
      <c r="G73" s="79">
        <v>0</v>
      </c>
    </row>
    <row r="74" spans="2:7">
      <c r="B74" s="18" t="s">
        <v>251</v>
      </c>
      <c r="C74" s="223" t="s">
        <v>252</v>
      </c>
      <c r="D74" s="223">
        <f>[32]Amortizaciones!D16</f>
        <v>0</v>
      </c>
      <c r="E74" s="138" t="s">
        <v>253</v>
      </c>
      <c r="F74" s="78" t="s">
        <v>254</v>
      </c>
      <c r="G74" s="79">
        <v>0</v>
      </c>
    </row>
    <row r="75" spans="2:7">
      <c r="B75" s="18" t="s">
        <v>255</v>
      </c>
      <c r="C75" s="223" t="s">
        <v>256</v>
      </c>
      <c r="D75" s="223">
        <f>[32]Amortizaciones!D17</f>
        <v>0</v>
      </c>
      <c r="E75" s="138" t="s">
        <v>257</v>
      </c>
      <c r="F75" s="78" t="s">
        <v>258</v>
      </c>
      <c r="G75" s="79">
        <v>9411154</v>
      </c>
    </row>
    <row r="76" spans="2:7">
      <c r="B76" s="18" t="s">
        <v>259</v>
      </c>
      <c r="C76" s="223" t="s">
        <v>260</v>
      </c>
      <c r="D76" s="223">
        <f>[32]Amortizaciones!D18</f>
        <v>0</v>
      </c>
      <c r="E76" s="138" t="s">
        <v>261</v>
      </c>
      <c r="F76" s="78" t="s">
        <v>262</v>
      </c>
      <c r="G76" s="79">
        <v>6728713</v>
      </c>
    </row>
    <row r="77" spans="2:7">
      <c r="B77" s="18" t="s">
        <v>263</v>
      </c>
      <c r="C77" s="223" t="s">
        <v>264</v>
      </c>
      <c r="D77" s="223">
        <f>SUM(D64:D76)</f>
        <v>55908345.280000001</v>
      </c>
      <c r="E77" s="138" t="s">
        <v>265</v>
      </c>
      <c r="F77" s="78" t="s">
        <v>266</v>
      </c>
      <c r="G77" s="79">
        <v>123663573.56</v>
      </c>
    </row>
    <row r="78" spans="2:7">
      <c r="B78" s="18"/>
      <c r="C78" s="223"/>
      <c r="D78" s="223"/>
      <c r="E78" s="138" t="s">
        <v>267</v>
      </c>
      <c r="F78" s="78" t="s">
        <v>268</v>
      </c>
      <c r="G78" s="84">
        <v>21286997</v>
      </c>
    </row>
    <row r="79" spans="2:7" ht="16.5" thickBot="1">
      <c r="B79" s="18"/>
      <c r="C79" s="222" t="s">
        <v>269</v>
      </c>
      <c r="D79" s="224"/>
      <c r="E79" s="138"/>
      <c r="F79" s="85" t="s">
        <v>270</v>
      </c>
      <c r="G79" s="86">
        <f>SUM(G58:G78)</f>
        <v>670050550.55999994</v>
      </c>
    </row>
    <row r="80" spans="2:7">
      <c r="B80" s="18" t="s">
        <v>271</v>
      </c>
      <c r="C80" s="223" t="s">
        <v>236</v>
      </c>
      <c r="D80" s="223">
        <f>[32]Amortizaciones!D22</f>
        <v>3028104.4</v>
      </c>
      <c r="E80" s="138" t="s">
        <v>272</v>
      </c>
      <c r="F80" s="80" t="s">
        <v>273</v>
      </c>
      <c r="G80" s="81">
        <v>0</v>
      </c>
    </row>
    <row r="81" spans="2:7">
      <c r="B81" s="18" t="s">
        <v>274</v>
      </c>
      <c r="C81" s="223" t="s">
        <v>240</v>
      </c>
      <c r="D81" s="223">
        <f>[32]Amortizaciones!D23</f>
        <v>0</v>
      </c>
      <c r="E81" s="138" t="s">
        <v>275</v>
      </c>
      <c r="F81" s="78" t="s">
        <v>276</v>
      </c>
      <c r="G81" s="79">
        <v>22699669</v>
      </c>
    </row>
    <row r="82" spans="2:7">
      <c r="B82" s="18" t="s">
        <v>277</v>
      </c>
      <c r="C82" s="223" t="s">
        <v>244</v>
      </c>
      <c r="D82" s="223">
        <f>[32]Amortizaciones!D24</f>
        <v>1995282</v>
      </c>
      <c r="E82" s="138" t="s">
        <v>278</v>
      </c>
      <c r="F82" s="78" t="s">
        <v>279</v>
      </c>
      <c r="G82" s="79">
        <v>4415343.3599999994</v>
      </c>
    </row>
    <row r="83" spans="2:7">
      <c r="B83" s="18" t="s">
        <v>280</v>
      </c>
      <c r="C83" s="223" t="s">
        <v>248</v>
      </c>
      <c r="D83" s="223">
        <f>[32]Amortizaciones!D25</f>
        <v>0</v>
      </c>
      <c r="E83" s="138" t="s">
        <v>281</v>
      </c>
      <c r="F83" s="78" t="s">
        <v>282</v>
      </c>
      <c r="G83" s="79">
        <v>2942247</v>
      </c>
    </row>
    <row r="84" spans="2:7">
      <c r="B84" s="18" t="s">
        <v>283</v>
      </c>
      <c r="C84" s="223" t="s">
        <v>284</v>
      </c>
      <c r="D84" s="223">
        <v>0</v>
      </c>
      <c r="E84" s="138" t="s">
        <v>285</v>
      </c>
      <c r="F84" s="78" t="s">
        <v>286</v>
      </c>
      <c r="G84" s="79">
        <v>14200450</v>
      </c>
    </row>
    <row r="85" spans="2:7">
      <c r="B85" s="18" t="s">
        <v>287</v>
      </c>
      <c r="C85" s="223" t="s">
        <v>288</v>
      </c>
      <c r="D85" s="223">
        <f>[32]Amortizaciones!D27</f>
        <v>0</v>
      </c>
      <c r="E85" s="138" t="s">
        <v>289</v>
      </c>
      <c r="F85" s="78" t="s">
        <v>290</v>
      </c>
      <c r="G85" s="79">
        <v>11598663</v>
      </c>
    </row>
    <row r="86" spans="2:7" ht="13.5" customHeight="1">
      <c r="B86" s="18" t="s">
        <v>291</v>
      </c>
      <c r="C86" s="223" t="s">
        <v>292</v>
      </c>
      <c r="D86" s="223">
        <f>[32]Amortizaciones!D28</f>
        <v>0</v>
      </c>
      <c r="E86" s="138" t="s">
        <v>293</v>
      </c>
      <c r="F86" s="78" t="s">
        <v>294</v>
      </c>
      <c r="G86" s="79">
        <v>11829460</v>
      </c>
    </row>
    <row r="87" spans="2:7" ht="13.5" customHeight="1">
      <c r="B87" s="18" t="s">
        <v>295</v>
      </c>
      <c r="C87" s="223" t="s">
        <v>296</v>
      </c>
      <c r="D87" s="223">
        <f>[32]Amortizaciones!D29</f>
        <v>0</v>
      </c>
      <c r="E87" s="138" t="s">
        <v>297</v>
      </c>
      <c r="F87" s="78" t="s">
        <v>298</v>
      </c>
      <c r="G87" s="79">
        <v>0</v>
      </c>
    </row>
    <row r="88" spans="2:7" ht="13.5" customHeight="1">
      <c r="B88" s="18" t="s">
        <v>299</v>
      </c>
      <c r="C88" s="223" t="s">
        <v>300</v>
      </c>
      <c r="D88" s="223">
        <f>[32]Amortizaciones!D30</f>
        <v>0</v>
      </c>
      <c r="E88" s="138" t="s">
        <v>301</v>
      </c>
      <c r="F88" s="78" t="s">
        <v>302</v>
      </c>
      <c r="G88" s="79">
        <v>8529917</v>
      </c>
    </row>
    <row r="89" spans="2:7">
      <c r="B89" s="18" t="s">
        <v>303</v>
      </c>
      <c r="C89" s="223" t="s">
        <v>212</v>
      </c>
      <c r="D89" s="223">
        <f>[32]Amortizaciones!D31</f>
        <v>0</v>
      </c>
      <c r="E89" s="138" t="s">
        <v>304</v>
      </c>
      <c r="F89" s="78" t="s">
        <v>305</v>
      </c>
      <c r="G89" s="79">
        <v>0</v>
      </c>
    </row>
    <row r="90" spans="2:7" ht="14.25" customHeight="1">
      <c r="B90" s="18" t="s">
        <v>306</v>
      </c>
      <c r="C90" s="223" t="s">
        <v>228</v>
      </c>
      <c r="D90" s="223">
        <f>[32]Amortizaciones!D32</f>
        <v>0</v>
      </c>
      <c r="E90" s="138" t="s">
        <v>307</v>
      </c>
      <c r="F90" s="78" t="s">
        <v>308</v>
      </c>
      <c r="G90" s="79">
        <v>4044320.66</v>
      </c>
    </row>
    <row r="91" spans="2:7" ht="14.25" customHeight="1">
      <c r="B91" s="18" t="s">
        <v>309</v>
      </c>
      <c r="C91" s="223" t="s">
        <v>310</v>
      </c>
      <c r="D91" s="223">
        <f>SUM(D80:D90)</f>
        <v>5023386.4000000004</v>
      </c>
      <c r="E91" s="225" t="s">
        <v>311</v>
      </c>
      <c r="F91" s="78" t="s">
        <v>312</v>
      </c>
      <c r="G91" s="79">
        <v>0</v>
      </c>
    </row>
    <row r="92" spans="2:7" ht="14.25" customHeight="1">
      <c r="B92" s="18"/>
      <c r="C92" s="226" t="s">
        <v>313</v>
      </c>
      <c r="D92" s="223">
        <f>D77+D91</f>
        <v>60931731.68</v>
      </c>
      <c r="E92" s="225" t="s">
        <v>314</v>
      </c>
      <c r="F92" s="78" t="s">
        <v>315</v>
      </c>
      <c r="G92" s="79">
        <v>0</v>
      </c>
    </row>
    <row r="93" spans="2:7">
      <c r="C93" s="116"/>
      <c r="D93" s="116"/>
      <c r="E93" s="225" t="s">
        <v>316</v>
      </c>
      <c r="F93" s="78" t="s">
        <v>317</v>
      </c>
      <c r="G93" s="79">
        <v>20737702.16</v>
      </c>
    </row>
    <row r="94" spans="2:7">
      <c r="C94" s="116"/>
      <c r="D94" s="116"/>
      <c r="E94" s="225" t="s">
        <v>318</v>
      </c>
      <c r="F94" s="78" t="s">
        <v>319</v>
      </c>
      <c r="G94" s="84">
        <v>1619309</v>
      </c>
    </row>
    <row r="95" spans="2:7" ht="13.5" customHeight="1" thickBot="1">
      <c r="C95" s="116"/>
      <c r="D95" s="116"/>
      <c r="E95" s="138"/>
      <c r="F95" s="85" t="s">
        <v>320</v>
      </c>
      <c r="G95" s="86">
        <f>SUM(G80:G94)</f>
        <v>102617081.17999999</v>
      </c>
    </row>
    <row r="96" spans="2:7">
      <c r="C96" s="116"/>
      <c r="D96" s="116"/>
      <c r="E96" s="225" t="s">
        <v>321</v>
      </c>
      <c r="F96" s="80" t="s">
        <v>322</v>
      </c>
      <c r="G96" s="81">
        <v>2196535.8400000003</v>
      </c>
    </row>
    <row r="97" spans="2:7">
      <c r="C97" s="116"/>
      <c r="D97" s="116"/>
      <c r="E97" s="225" t="s">
        <v>323</v>
      </c>
      <c r="F97" s="78" t="s">
        <v>324</v>
      </c>
      <c r="G97" s="79">
        <v>4819911</v>
      </c>
    </row>
    <row r="98" spans="2:7">
      <c r="C98" s="116"/>
      <c r="D98" s="116"/>
      <c r="E98" s="225" t="s">
        <v>325</v>
      </c>
      <c r="F98" s="78" t="s">
        <v>326</v>
      </c>
      <c r="G98" s="79">
        <v>4726357</v>
      </c>
    </row>
    <row r="99" spans="2:7">
      <c r="C99" s="116"/>
      <c r="D99" s="116"/>
      <c r="E99" s="225" t="s">
        <v>327</v>
      </c>
      <c r="F99" s="78" t="s">
        <v>328</v>
      </c>
      <c r="G99" s="79">
        <v>4340630.8100000005</v>
      </c>
    </row>
    <row r="100" spans="2:7">
      <c r="C100" s="116"/>
      <c r="D100" s="116"/>
      <c r="E100" s="225" t="s">
        <v>329</v>
      </c>
      <c r="F100" s="78" t="s">
        <v>330</v>
      </c>
      <c r="G100" s="84">
        <v>1092659</v>
      </c>
    </row>
    <row r="101" spans="2:7" ht="12.75" customHeight="1" thickBot="1">
      <c r="C101" s="116"/>
      <c r="D101" s="116"/>
      <c r="E101" s="138"/>
      <c r="F101" s="85" t="s">
        <v>331</v>
      </c>
      <c r="G101" s="86">
        <f>SUM(G96:G100)</f>
        <v>17176093.649999999</v>
      </c>
    </row>
    <row r="102" spans="2:7" ht="12.75" customHeight="1" thickBot="1">
      <c r="C102" s="116"/>
      <c r="D102" s="116"/>
      <c r="E102" s="225"/>
      <c r="F102" s="110" t="s">
        <v>332</v>
      </c>
      <c r="G102" s="111">
        <f>[32]Amortizaciones!D19</f>
        <v>55908345.280000001</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2590593569.3600001</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383410158.86999989</v>
      </c>
    </row>
    <row r="110" spans="2:7" ht="6.75" customHeight="1" thickBot="1">
      <c r="B110" s="5"/>
      <c r="C110" s="227"/>
      <c r="D110" s="227"/>
      <c r="E110" s="138"/>
      <c r="F110" s="116"/>
      <c r="G110" s="116"/>
    </row>
    <row r="111" spans="2:7" ht="15" customHeight="1" thickBot="1">
      <c r="C111" s="72" t="s">
        <v>269</v>
      </c>
      <c r="D111" s="118">
        <f>+[32]E.S.P.!D6</f>
        <v>2021</v>
      </c>
      <c r="E111" s="225"/>
      <c r="F111" s="72" t="s">
        <v>340</v>
      </c>
      <c r="G111" s="118">
        <f>+[32]E.S.P.!D6</f>
        <v>2021</v>
      </c>
    </row>
    <row r="112" spans="2:7" ht="13.7" customHeight="1">
      <c r="B112" s="5" t="s">
        <v>341</v>
      </c>
      <c r="C112" s="119" t="s">
        <v>342</v>
      </c>
      <c r="D112" s="120">
        <v>15355765</v>
      </c>
      <c r="E112" s="138" t="s">
        <v>343</v>
      </c>
      <c r="F112" s="119" t="s">
        <v>308</v>
      </c>
      <c r="G112" s="120">
        <v>82652</v>
      </c>
    </row>
    <row r="113" spans="2:7" ht="13.7" customHeight="1">
      <c r="B113" s="5" t="s">
        <v>344</v>
      </c>
      <c r="C113" s="121" t="s">
        <v>345</v>
      </c>
      <c r="D113" s="122">
        <v>151681042.67000002</v>
      </c>
      <c r="E113" s="138" t="s">
        <v>346</v>
      </c>
      <c r="F113" s="121" t="s">
        <v>347</v>
      </c>
      <c r="G113" s="122">
        <v>0</v>
      </c>
    </row>
    <row r="114" spans="2:7" ht="13.7" customHeight="1">
      <c r="B114" s="5" t="s">
        <v>348</v>
      </c>
      <c r="C114" s="121" t="s">
        <v>48</v>
      </c>
      <c r="D114" s="122">
        <v>0</v>
      </c>
      <c r="E114" s="138" t="s">
        <v>349</v>
      </c>
      <c r="F114" s="121" t="s">
        <v>350</v>
      </c>
      <c r="G114" s="122">
        <v>0</v>
      </c>
    </row>
    <row r="115" spans="2:7" ht="13.7" customHeight="1">
      <c r="B115" s="5" t="s">
        <v>351</v>
      </c>
      <c r="C115" s="121" t="s">
        <v>352</v>
      </c>
      <c r="D115" s="122">
        <v>668443</v>
      </c>
      <c r="E115" s="138" t="s">
        <v>353</v>
      </c>
      <c r="F115" s="121" t="s">
        <v>354</v>
      </c>
      <c r="G115" s="122">
        <v>0</v>
      </c>
    </row>
    <row r="116" spans="2:7" ht="13.7" customHeight="1">
      <c r="B116" s="5" t="s">
        <v>355</v>
      </c>
      <c r="C116" s="121" t="s">
        <v>356</v>
      </c>
      <c r="D116" s="122">
        <v>6602743</v>
      </c>
      <c r="E116" s="138" t="s">
        <v>357</v>
      </c>
      <c r="F116" s="121" t="s">
        <v>358</v>
      </c>
      <c r="G116" s="122">
        <v>819342</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8044249</v>
      </c>
      <c r="E121" s="138" t="s">
        <v>377</v>
      </c>
      <c r="F121" s="121" t="s">
        <v>378</v>
      </c>
      <c r="G121" s="122">
        <v>1160419</v>
      </c>
    </row>
    <row r="122" spans="2:7" ht="13.7" customHeight="1" thickBot="1">
      <c r="B122" s="5"/>
      <c r="C122" s="85" t="s">
        <v>379</v>
      </c>
      <c r="D122" s="94">
        <f>SUM(D112:D121)</f>
        <v>182352242.67000002</v>
      </c>
      <c r="E122" s="138" t="s">
        <v>380</v>
      </c>
      <c r="F122" s="78" t="s">
        <v>381</v>
      </c>
      <c r="G122" s="79">
        <f>83670+1</f>
        <v>83671</v>
      </c>
    </row>
    <row r="123" spans="2:7" ht="13.7" customHeight="1" thickBot="1">
      <c r="B123" s="5" t="s">
        <v>382</v>
      </c>
      <c r="C123" s="123" t="s">
        <v>308</v>
      </c>
      <c r="D123" s="120">
        <v>0</v>
      </c>
      <c r="E123" s="225"/>
      <c r="F123" s="85" t="s">
        <v>383</v>
      </c>
      <c r="G123" s="94">
        <f>SUM(G112:G122)</f>
        <v>2146084</v>
      </c>
    </row>
    <row r="124" spans="2:7" ht="13.7" customHeight="1">
      <c r="B124" s="5" t="s">
        <v>384</v>
      </c>
      <c r="C124" s="121" t="s">
        <v>312</v>
      </c>
      <c r="D124" s="122">
        <v>0</v>
      </c>
      <c r="E124" s="138" t="s">
        <v>385</v>
      </c>
      <c r="F124" s="121" t="s">
        <v>386</v>
      </c>
      <c r="G124" s="122">
        <v>0</v>
      </c>
    </row>
    <row r="125" spans="2:7" ht="13.7" customHeight="1">
      <c r="B125" s="5" t="s">
        <v>387</v>
      </c>
      <c r="C125" s="78" t="s">
        <v>388</v>
      </c>
      <c r="D125" s="122">
        <v>0</v>
      </c>
      <c r="E125" s="138" t="s">
        <v>389</v>
      </c>
      <c r="F125" s="121" t="s">
        <v>390</v>
      </c>
      <c r="G125" s="122">
        <v>58004</v>
      </c>
    </row>
    <row r="126" spans="2:7" ht="13.7" customHeight="1" thickBot="1">
      <c r="B126" s="5"/>
      <c r="C126" s="85" t="s">
        <v>391</v>
      </c>
      <c r="D126" s="94">
        <f>SUM(D123:D125)</f>
        <v>0</v>
      </c>
      <c r="E126" s="138" t="s">
        <v>392</v>
      </c>
      <c r="F126" s="121" t="s">
        <v>393</v>
      </c>
      <c r="G126" s="122">
        <v>0</v>
      </c>
    </row>
    <row r="127" spans="2:7" ht="13.7" customHeight="1">
      <c r="B127" s="5" t="s">
        <v>394</v>
      </c>
      <c r="C127" s="119" t="s">
        <v>273</v>
      </c>
      <c r="D127" s="120">
        <v>2200685</v>
      </c>
      <c r="E127" s="138" t="s">
        <v>395</v>
      </c>
      <c r="F127" s="121" t="s">
        <v>396</v>
      </c>
      <c r="G127" s="122">
        <v>0</v>
      </c>
    </row>
    <row r="128" spans="2:7" ht="13.7" customHeight="1">
      <c r="B128" s="5" t="s">
        <v>397</v>
      </c>
      <c r="C128" s="121" t="s">
        <v>398</v>
      </c>
      <c r="D128" s="122">
        <v>2935616</v>
      </c>
      <c r="E128" s="138" t="s">
        <v>399</v>
      </c>
      <c r="F128" s="121" t="s">
        <v>400</v>
      </c>
      <c r="G128" s="122">
        <v>0</v>
      </c>
    </row>
    <row r="129" spans="2:7" ht="13.7" customHeight="1">
      <c r="B129" s="5" t="s">
        <v>401</v>
      </c>
      <c r="C129" s="121" t="s">
        <v>276</v>
      </c>
      <c r="D129" s="122">
        <v>0</v>
      </c>
      <c r="E129" s="138" t="s">
        <v>402</v>
      </c>
      <c r="F129" s="121" t="s">
        <v>403</v>
      </c>
      <c r="G129" s="122">
        <v>0</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0</v>
      </c>
    </row>
    <row r="133" spans="2:7" ht="13.7" customHeight="1">
      <c r="B133" s="5" t="s">
        <v>413</v>
      </c>
      <c r="C133" s="121" t="s">
        <v>294</v>
      </c>
      <c r="D133" s="122">
        <v>0</v>
      </c>
      <c r="E133" s="138" t="s">
        <v>414</v>
      </c>
      <c r="F133" s="121" t="s">
        <v>415</v>
      </c>
      <c r="G133" s="122">
        <v>0</v>
      </c>
    </row>
    <row r="134" spans="2:7" ht="13.7" customHeight="1">
      <c r="B134" s="5" t="s">
        <v>416</v>
      </c>
      <c r="C134" s="121" t="s">
        <v>417</v>
      </c>
      <c r="D134" s="122">
        <v>2733227</v>
      </c>
      <c r="E134" s="138" t="s">
        <v>418</v>
      </c>
      <c r="F134" s="121" t="s">
        <v>419</v>
      </c>
      <c r="G134" s="122">
        <v>0</v>
      </c>
    </row>
    <row r="135" spans="2:7" ht="13.7" customHeight="1">
      <c r="B135" s="5" t="s">
        <v>420</v>
      </c>
      <c r="C135" s="121" t="s">
        <v>421</v>
      </c>
      <c r="D135" s="122">
        <v>0</v>
      </c>
      <c r="E135" s="138" t="s">
        <v>422</v>
      </c>
      <c r="F135" s="121" t="s">
        <v>423</v>
      </c>
      <c r="G135" s="122">
        <v>0</v>
      </c>
    </row>
    <row r="136" spans="2:7" ht="13.7" customHeight="1">
      <c r="B136" s="5" t="s">
        <v>424</v>
      </c>
      <c r="C136" s="121" t="s">
        <v>317</v>
      </c>
      <c r="D136" s="122">
        <f>40913225.67+624289.35</f>
        <v>41537515.020000003</v>
      </c>
      <c r="E136" s="138" t="s">
        <v>425</v>
      </c>
      <c r="F136" s="121" t="s">
        <v>426</v>
      </c>
      <c r="G136" s="122">
        <v>0</v>
      </c>
    </row>
    <row r="137" spans="2:7" ht="13.7" customHeight="1">
      <c r="B137" s="5" t="s">
        <v>427</v>
      </c>
      <c r="C137" s="78" t="s">
        <v>319</v>
      </c>
      <c r="D137" s="124">
        <v>1744653</v>
      </c>
      <c r="E137" s="138" t="s">
        <v>428</v>
      </c>
      <c r="F137" s="121" t="s">
        <v>429</v>
      </c>
      <c r="G137" s="122">
        <v>11935798</v>
      </c>
    </row>
    <row r="138" spans="2:7" ht="13.7" customHeight="1" thickBot="1">
      <c r="B138" s="5"/>
      <c r="C138" s="85" t="s">
        <v>320</v>
      </c>
      <c r="D138" s="94">
        <f>SUM(D127:D137)</f>
        <v>51151696.020000003</v>
      </c>
      <c r="E138" s="138" t="s">
        <v>430</v>
      </c>
      <c r="F138" s="78" t="s">
        <v>431</v>
      </c>
      <c r="G138" s="79">
        <v>-303442</v>
      </c>
    </row>
    <row r="139" spans="2:7" ht="13.7" customHeight="1" thickBot="1">
      <c r="B139" s="5" t="s">
        <v>432</v>
      </c>
      <c r="C139" s="119" t="s">
        <v>326</v>
      </c>
      <c r="D139" s="120">
        <v>0</v>
      </c>
      <c r="E139" s="228"/>
      <c r="F139" s="85" t="s">
        <v>433</v>
      </c>
      <c r="G139" s="94">
        <f>SUM(G124:G138)</f>
        <v>11690360</v>
      </c>
    </row>
    <row r="140" spans="2:7" ht="13.7" customHeight="1" thickBot="1">
      <c r="B140" s="5" t="s">
        <v>434</v>
      </c>
      <c r="C140" s="121" t="s">
        <v>328</v>
      </c>
      <c r="D140" s="122">
        <v>1615964.42</v>
      </c>
      <c r="E140" s="228"/>
      <c r="F140" s="110" t="s">
        <v>435</v>
      </c>
      <c r="G140" s="126">
        <f>G123-G139</f>
        <v>-9544276</v>
      </c>
    </row>
    <row r="141" spans="2:7" ht="13.7" customHeight="1">
      <c r="B141" s="5" t="s">
        <v>436</v>
      </c>
      <c r="C141" s="78" t="s">
        <v>330</v>
      </c>
      <c r="D141" s="124">
        <v>52490</v>
      </c>
      <c r="E141" s="229"/>
      <c r="F141" s="116"/>
      <c r="G141" s="116"/>
    </row>
    <row r="142" spans="2:7" ht="13.7" customHeight="1" thickBot="1">
      <c r="B142" s="5"/>
      <c r="C142" s="85" t="s">
        <v>331</v>
      </c>
      <c r="D142" s="94">
        <f>SUM(D139:D141)</f>
        <v>1668454.42</v>
      </c>
      <c r="E142" s="229"/>
      <c r="F142" s="116"/>
      <c r="G142" s="116"/>
    </row>
    <row r="143" spans="2:7" ht="13.5" customHeight="1" thickBot="1">
      <c r="B143" s="5"/>
      <c r="C143" s="110" t="s">
        <v>332</v>
      </c>
      <c r="D143" s="126">
        <f>[32]Amortizaciones!D33</f>
        <v>5023386.4000000004</v>
      </c>
      <c r="E143" s="138"/>
      <c r="F143" s="72" t="s">
        <v>437</v>
      </c>
      <c r="G143" s="118">
        <f>+[32]E.S.P.!D6</f>
        <v>2021</v>
      </c>
    </row>
    <row r="144" spans="2:7" ht="13.7" customHeight="1">
      <c r="B144" s="5" t="s">
        <v>438</v>
      </c>
      <c r="C144" s="119" t="s">
        <v>439</v>
      </c>
      <c r="D144" s="120">
        <v>5079054</v>
      </c>
      <c r="E144" s="138" t="s">
        <v>440</v>
      </c>
      <c r="F144" s="119" t="s">
        <v>441</v>
      </c>
      <c r="G144" s="120">
        <v>10447948</v>
      </c>
    </row>
    <row r="145" spans="2:7" ht="13.7" customHeight="1">
      <c r="B145" s="5" t="s">
        <v>442</v>
      </c>
      <c r="C145" s="121" t="s">
        <v>443</v>
      </c>
      <c r="D145" s="122">
        <v>0</v>
      </c>
      <c r="E145" s="138" t="s">
        <v>444</v>
      </c>
      <c r="F145" s="121" t="s">
        <v>445</v>
      </c>
      <c r="G145" s="122">
        <v>0</v>
      </c>
    </row>
    <row r="146" spans="2:7" ht="13.7" customHeight="1">
      <c r="B146" s="5" t="s">
        <v>446</v>
      </c>
      <c r="C146" s="128" t="s">
        <v>447</v>
      </c>
      <c r="D146" s="122">
        <v>22468</v>
      </c>
      <c r="E146" s="138" t="s">
        <v>448</v>
      </c>
      <c r="F146" s="121" t="s">
        <v>449</v>
      </c>
      <c r="G146" s="122">
        <v>5036104</v>
      </c>
    </row>
    <row r="147" spans="2:7" ht="13.7" customHeight="1">
      <c r="B147" s="5" t="s">
        <v>450</v>
      </c>
      <c r="C147" s="78" t="s">
        <v>451</v>
      </c>
      <c r="D147" s="124">
        <v>73923</v>
      </c>
      <c r="E147" s="138" t="s">
        <v>452</v>
      </c>
      <c r="F147" s="121" t="s">
        <v>453</v>
      </c>
      <c r="G147" s="122">
        <v>0</v>
      </c>
    </row>
    <row r="148" spans="2:7" ht="13.7" customHeight="1" thickBot="1">
      <c r="B148" s="5"/>
      <c r="C148" s="85" t="s">
        <v>518</v>
      </c>
      <c r="D148" s="94">
        <f>SUM(D144:D147)</f>
        <v>5175445</v>
      </c>
      <c r="E148" s="138" t="s">
        <v>454</v>
      </c>
      <c r="F148" s="121" t="s">
        <v>455</v>
      </c>
      <c r="G148" s="122">
        <v>0</v>
      </c>
    </row>
    <row r="149" spans="2:7" ht="13.7" customHeight="1">
      <c r="B149" s="5" t="s">
        <v>456</v>
      </c>
      <c r="C149" s="119" t="s">
        <v>457</v>
      </c>
      <c r="D149" s="120">
        <v>3569881</v>
      </c>
      <c r="E149" s="138" t="s">
        <v>458</v>
      </c>
      <c r="F149" s="121" t="s">
        <v>459</v>
      </c>
      <c r="G149" s="122">
        <v>0</v>
      </c>
    </row>
    <row r="150" spans="2:7" ht="13.7" customHeight="1">
      <c r="B150" s="5" t="s">
        <v>460</v>
      </c>
      <c r="C150" s="121" t="s">
        <v>461</v>
      </c>
      <c r="D150" s="122">
        <f>1609108+15539.75</f>
        <v>1624647.75</v>
      </c>
      <c r="E150" s="138" t="s">
        <v>462</v>
      </c>
      <c r="F150" s="121" t="s">
        <v>463</v>
      </c>
      <c r="G150" s="122">
        <v>0</v>
      </c>
    </row>
    <row r="151" spans="2:7" ht="13.7" customHeight="1">
      <c r="B151" s="5" t="s">
        <v>464</v>
      </c>
      <c r="C151" s="78" t="s">
        <v>465</v>
      </c>
      <c r="D151" s="124">
        <f>83288-2</f>
        <v>83286</v>
      </c>
      <c r="E151" s="138" t="s">
        <v>466</v>
      </c>
      <c r="F151" s="121" t="s">
        <v>467</v>
      </c>
      <c r="G151" s="122">
        <v>0</v>
      </c>
    </row>
    <row r="152" spans="2:7" ht="13.7" customHeight="1" thickBot="1">
      <c r="B152" s="5"/>
      <c r="C152" s="85" t="s">
        <v>516</v>
      </c>
      <c r="D152" s="94">
        <f>SUM(D149:D151)</f>
        <v>5277814.75</v>
      </c>
      <c r="E152" s="138" t="s">
        <v>469</v>
      </c>
      <c r="F152" s="121" t="s">
        <v>470</v>
      </c>
      <c r="G152" s="122">
        <v>0</v>
      </c>
    </row>
    <row r="153" spans="2:7" ht="15" customHeight="1" thickBot="1">
      <c r="B153" s="5"/>
      <c r="C153" s="110" t="s">
        <v>471</v>
      </c>
      <c r="D153" s="129">
        <f>D122+D126+D138+D142+D143+D148+D152</f>
        <v>250649039.26000002</v>
      </c>
      <c r="E153" s="138" t="s">
        <v>472</v>
      </c>
      <c r="F153" s="78" t="s">
        <v>473</v>
      </c>
      <c r="G153" s="79">
        <f>407371-9</f>
        <v>407362</v>
      </c>
    </row>
    <row r="154" spans="2:7" ht="13.7" customHeight="1" thickBot="1">
      <c r="B154" s="5"/>
      <c r="C154" s="116"/>
      <c r="D154" s="116"/>
      <c r="E154" s="138"/>
      <c r="F154" s="85" t="s">
        <v>474</v>
      </c>
      <c r="G154" s="94">
        <f>SUM(G144:G153)</f>
        <v>15891414</v>
      </c>
    </row>
    <row r="155" spans="2:7" ht="13.5" customHeight="1" thickBot="1">
      <c r="B155" s="5"/>
      <c r="C155" s="72" t="s">
        <v>475</v>
      </c>
      <c r="D155" s="103">
        <f>G109-D153</f>
        <v>132761119.60999987</v>
      </c>
      <c r="E155" s="138" t="s">
        <v>476</v>
      </c>
      <c r="F155" s="119" t="s">
        <v>477</v>
      </c>
      <c r="G155" s="120">
        <v>0</v>
      </c>
    </row>
    <row r="156" spans="2:7" ht="13.7" customHeight="1">
      <c r="C156" s="116"/>
      <c r="D156" s="116"/>
      <c r="E156" s="138" t="s">
        <v>478</v>
      </c>
      <c r="F156" s="121" t="s">
        <v>479</v>
      </c>
      <c r="G156" s="122">
        <v>0</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f>16288480+27448613-31989223</f>
        <v>11747870</v>
      </c>
    </row>
    <row r="166" spans="3:7" ht="13.7" customHeight="1">
      <c r="C166" s="116"/>
      <c r="D166" s="116"/>
      <c r="E166" s="138" t="s">
        <v>498</v>
      </c>
      <c r="F166" s="121" t="s">
        <v>499</v>
      </c>
      <c r="G166" s="122">
        <v>2406282.7300000004</v>
      </c>
    </row>
    <row r="167" spans="3:7" ht="13.7" customHeight="1">
      <c r="C167" s="116"/>
      <c r="D167" s="116"/>
      <c r="E167" s="138" t="s">
        <v>500</v>
      </c>
      <c r="F167" s="78" t="s">
        <v>501</v>
      </c>
      <c r="G167" s="79">
        <f>80061-9</f>
        <v>80052</v>
      </c>
    </row>
    <row r="168" spans="3:7" ht="13.7" customHeight="1" thickBot="1">
      <c r="C168" s="116"/>
      <c r="D168" s="116"/>
      <c r="E168" s="138"/>
      <c r="F168" s="85" t="s">
        <v>502</v>
      </c>
      <c r="G168" s="94">
        <f>SUM(G155:G167)</f>
        <v>14234204.73</v>
      </c>
    </row>
    <row r="169" spans="3:7" ht="13.7" customHeight="1" thickBot="1">
      <c r="C169" s="116"/>
      <c r="D169" s="116"/>
      <c r="E169" s="138"/>
      <c r="F169" s="110" t="s">
        <v>503</v>
      </c>
      <c r="G169" s="126">
        <f>G154-G168</f>
        <v>1657209.2699999996</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124874052.87999986</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124874052.87999986</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163" priority="2" stopIfTrue="1" operator="greaterThan">
      <formula>50</formula>
    </cfRule>
    <cfRule type="cellIs" dxfId="162" priority="11" stopIfTrue="1" operator="equal">
      <formula>0</formula>
    </cfRule>
  </conditionalFormatting>
  <conditionalFormatting sqref="D7:D61">
    <cfRule type="cellIs" dxfId="161" priority="9" stopIfTrue="1" operator="between">
      <formula>-0.1</formula>
      <formula>-50</formula>
    </cfRule>
    <cfRule type="cellIs" dxfId="160" priority="10" stopIfTrue="1" operator="between">
      <formula>0.1</formula>
      <formula>50</formula>
    </cfRule>
  </conditionalFormatting>
  <conditionalFormatting sqref="G152:G181 G7:G150">
    <cfRule type="cellIs" dxfId="159" priority="7" stopIfTrue="1" operator="between">
      <formula>-0.1</formula>
      <formula>-50</formula>
    </cfRule>
    <cfRule type="cellIs" dxfId="158" priority="8" stopIfTrue="1" operator="between">
      <formula>0.1</formula>
      <formula>50</formula>
    </cfRule>
  </conditionalFormatting>
  <conditionalFormatting sqref="D111:D155">
    <cfRule type="cellIs" dxfId="157" priority="5" stopIfTrue="1" operator="between">
      <formula>-0.1</formula>
      <formula>-50</formula>
    </cfRule>
    <cfRule type="cellIs" dxfId="156" priority="6" stopIfTrue="1" operator="between">
      <formula>0.1</formula>
      <formula>50</formula>
    </cfRule>
  </conditionalFormatting>
  <conditionalFormatting sqref="G165">
    <cfRule type="expression" dxfId="155" priority="4" stopIfTrue="1">
      <formula>AND($G$165&gt;0,$G$151&gt;0)</formula>
    </cfRule>
  </conditionalFormatting>
  <conditionalFormatting sqref="G151">
    <cfRule type="expression" dxfId="15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G65687 G131223 G196759 G262295 G327831 G393367 G458903 G524439 G589975 G655511 G721047 G786583 G852119 G917655 G983191">
      <formula1>AND(OR(G151=0, G151&gt;50),G165=0)</formula1>
    </dataValidation>
    <dataValidation type="whole" operator="greaterThan" allowBlank="1" showInputMessage="1" showErrorMessage="1" sqref="D8:D12 D65544:D65548 D131080:D131084 D196616:D196620 D262152:D262156 D327688:D327692 D393224:D393228 D458760:D458764 D524296:D524300 D589832:D589836 D655368:D655372 D720904:D720908 D786440:D786444 D851976:D851980 D917512:D917516 D983048:D983052">
      <formula1>50</formula1>
    </dataValidation>
    <dataValidation type="whole" operator="greaterThan" showInputMessage="1" showErrorMessage="1" errorTitle="eee" error="Valores mayores a $50" sqref="D7 D65543 D131079 D196615 D262151 D327687 D393223 D458759 D524295 D589831 D655367 D720903 D786439 D851975 D917511 D983047">
      <formula1>50</formula1>
    </dataValidation>
    <dataValidation type="custom" operator="greaterThan" showInputMessage="1" showErrorMessage="1" errorTitle="rdm2" error="No se admite ingresar a la vez RDM como ingresos y como egresos. Tampoco se admiten valores negattivos o positivos menores de 50" sqref="G983205 G917669 G852133 G786597 G721061 G655525 G589989 G524453 G458917 G393381 G327845 G262309 G196773 G131237 G65701 G165">
      <formula1>AND(OR(G165=0, G165&gt;50),G151=0)</formula1>
    </dataValidation>
    <dataValidation type="custom" operator="greaterThan" showInputMessage="1" showErrorMessage="1" errorTitle="eee" sqref="D56 D65592 D131128 D196664 D262200 D327736 D393272 D458808 D524344 D589880 D655416 D720952 D786488 D852024 D917560 D983096">
      <formula1>OR(D56=0, D56&lt;50)</formula1>
    </dataValidation>
    <dataValidation type="custom" operator="greaterThan" showInputMessage="1" showErrorMessage="1" errorTitle="eee" sqref="D57:D61 D65593:D65597 D131129:D131133 D196665:D196669 D262201:D262205 D327737:D327741 D393273:D393277 D458809:D458813 D524345:D524349 D589881:D589885 D655417:D655421 D720953:D720957 D786489:D786493 D852025:D852029 D917561:D917565 D983097:D983101">
      <formula1>OR(D57=0, D57&lt;0)</formula1>
    </dataValidation>
    <dataValidation type="custom" operator="greaterThan" showInputMessage="1" showErrorMessage="1" errorTitle="eee" sqref="G7:G140 G65543:G65676 G131079:G131212 G196615:G196748 G262151:G262284 G327687:G327820 G393223:G393356 G458759:G458892 G524295:G524428 G589831:G589964 G655367:G655500 G720903:G721036 G786439:G786572 G851975:G852108 G917511:G917644 G983047:G983180 D62:D155 D65598:D65691 D131134:D131227 D196670:D196763 D262206:D262299 D327742:D327835 D393278:D393371 D458814:D458907 D524350:D524443 D589886:D589979 D655422:D655515 D720958:D721051 D786494:D786587 D852030:D852123 D917566:D917659 D983102:D983195 G152:G164 G65688:G65700 G131224:G131236 G196760:G196772 G262296:G262308 G327832:G327844 G393368:G393380 G458904:G458916 G524440:G524452 G589976:G589988 G655512:G655524 G721048:G721060 G786584:G786596 G852120:G852132 G917656:G917668 G983192:G983204 G166:G181 G65702:G65717 G131238:G131253 G196774:G196789 G262310:G262325 G327846:G327861 G393382:G393397 G458918:G458933 G524454:G524469 G589990:G590005 G655526:G655541 G721062:G721077 G786598:G786613 G852134:G852149 G917670:G917685 G983206:G983221 G144:G150 G65680:G65686 G131216:G131222 G196752:G196758 G262288:G262294 G327824:G327830 G393360:G393366 G458896:G458902 G524432:G524438 G589968:G589974 G655504:G655510 G721040:G721046 G786576:G786582 G852112:G852118 G917648:G917654 G983184:G983190 D13:D55 D65549:D65591 D131085:D131127 D196621:D196663 D262157:D262199 D327693:D327735 D393229:D393271 D458765:D458807 D524301:D524343 D589837:D589879 D655373:D655415 D720909:D720951 D786445:D786487 D851981:D852023 D917517:D917559 D983053:D983095">
      <formula1>OR(D7=0, D7&gt;50)</formula1>
    </dataValidation>
    <dataValidation type="whole" allowBlank="1" showErrorMessage="1" errorTitle="Error de datos" error="Debe ingresar un valor entre 1 y 12" sqref="G1:G3 G65537:G65539 G131073:G131075 G196609:G196611 G262145:G262147 G327681:G327683 G393217:G393219 G458753:G458755 G524289:G524291 G589825:G589827 G655361:G655363 G720897:G720899 G786433:G786435 G851969:G851971 G917505:G917507 G983041:G983043">
      <formula1>1</formula1>
      <formula2>12</formula2>
    </dataValidation>
    <dataValidation allowBlank="1" errorTitle="Error de datos" error="Debe introducir una fecha válida" sqref="E3 E65539 E131075 E196611 E262147 E327683 E393219 E458755 E524291 E589827 E655363 E720899 E786435 E851971 E917507 E983043"/>
    <dataValidation allowBlank="1" sqref="G204 G65740 G131276 G196812 G262348 G327884 G393420 G458956 G524492 G590028 G655564 G721100 G786636 G852172 G917708 G983244"/>
    <dataValidation operator="greaterThanOrEqual" allowBlank="1" errorTitle="Error de datos" error="Debe ingresar un valor entero positivo" sqref="F6:F107 F65542:F65643 F131078:F131179 F196614:F196715 F262150:F262251 F327686:F327787 F393222:F393323 F458758:F458859 F524294:F524395 F589830:F589931 F655366:F655467 F720902:F721003 F786438:F786539 F851974:F852075 F917510:F917611 F983046:F983147 F203 F65739 F131275 F196811 F262347 F327883 F393419 F458955 F524491 F590027 F655563 F721099 F786635 F852171 F917707 F983243 C13:C47 C65549:C65583 C131085:C131119 C196621:C196655 C262157:C262191 C327693:C327727 C393229:C393263 C458765:C458799 C524301:C524335 C589837:C589871 C655373:C655407 C720909:C720943 C786445:C786479 C851981:C852015 C917517:C917551 C983053:C983087 C106:C153 C65642:C65689 C131178:C131225 C196714:C196761 C262250:C262297 C327786:C327833 C393322:C393369 C458858:C458905 C524394:C524441 C589930:C589977 C655466:C655513 C721002:C721049 C786538:C786585 C852074:C852121 C917610:C917657 C983146:C983193 F171 F65707 F131243 F196779 F262315 F327851 F393387 F458923 F524459 F589995 F655531 F721067 F786603 F852139 F917675 F983211 F174:F178 F65710:F65714 F131246:F131250 F196782:F196786 F262318:F262322 F327854:F327858 F393390:F393394 F458926:F458930 F524462:F524466 F589998:F590002 F655534:F655538 F721070:F721074 F786606:F786610 F852142:F852146 F917678:F917682 F983214:F983218 F180 F65716 F131252 F196788 F262324 F327860 F393396 F458932 F524468 F590004 F655540 F721076 F786612 F852148 F917684 F983220 F111:F119 F65647:F65655 F131183:F131191 F196719:F196727 F262255:F262263 F327791:F327799 F393327:F393335 F458863:F458871 F524399:F524407 F589935:F589943 F655471:F655479 F721007:F721015 F786543:F786551 F852079:F852087 F917615:F917623 F983151:F983159 C7:C10 C65543:C65546 C131079:C131082 C196615:C196618 C262151:C262154 C327687:C327690 C393223:C393226 C458759:C458762 C524295:C524298 C589831:C589834 C655367:C655370 C720903:C720906 C786439:C786442 C851975:C851978 C917511:C917514 C983047:C983050 F121:F140 F65657:F65676 F131193:F131212 F196729:F196748 F262265:F262284 F327801:F327820 F393337:F393356 F458873:F458892 F524409:F524428 F589945:F589964 F655481:F655500 F721017:F721036 F786553:F786572 F852089:F852108 F917625:F917644 F983161:F983180 F143:F169 F65679:F65705 F131215:F131241 F196751:F196777 F262287:F262313 F327823:F327849 F393359:F393385 F458895:F458921 F524431:F524457 F589967:F589993 F655503:F655529 F721039:F721065 F786575:F786601 F852111:F852137 F917647:F917673 F983183:F983209 C49:C62 C65585:C65598 C131121:C131134 C196657:C196670 C262193:C262206 C327729:C327742 C393265:C393278 C458801:C458814 C524337:C524350 C589873:C589886 C655409:C655422 C720945:C720958 C786481:C786494 C852017:C852030 C917553:C917566 C983089:C983102 C155 C65691 C131227 C196763 C262299 C327835 C393371 C458907 C524443 C589979 C655515 C721051 C786587 C852123 C917659 C983195 F109 F65645 F131181 F196717 F262253 F327789 F393325 F458861 F524397 F589933 F655469 F721005 F786541 F852077 F917613 F983149"/>
  </dataValidations>
  <printOptions horizontalCentered="1"/>
  <pageMargins left="0.23622047244094491" right="0.23622047244094491" top="0.74803149606299213" bottom="0"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65:G167 G153 D150:D151 D136 G122 D24:D26" unlockedFormula="1"/>
    <ignoredError sqref="G40" formulaRange="1"/>
  </ignoredError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14"/>
  <sheetViews>
    <sheetView showGridLines="0" zoomScaleNormal="100" zoomScaleSheetLayoutView="100" workbookViewId="0">
      <selection activeCell="F180" sqref="F180"/>
    </sheetView>
  </sheetViews>
  <sheetFormatPr baseColWidth="10" defaultColWidth="0" defaultRowHeight="15.75" zeroHeight="1"/>
  <cols>
    <col min="1" max="1" width="3" style="1" customWidth="1"/>
    <col min="2" max="2" width="14.28515625" style="6" hidden="1" customWidth="1"/>
    <col min="3" max="3" width="56.42578125" style="19" customWidth="1"/>
    <col min="4" max="4" width="21" style="19" customWidth="1"/>
    <col min="5" max="5" width="3.85546875" style="13" customWidth="1"/>
    <col min="6" max="6" width="57.28515625" style="19" customWidth="1"/>
    <col min="7" max="7" width="21" style="19" customWidth="1"/>
    <col min="8" max="8" width="3.28515625" style="4" customWidth="1"/>
    <col min="9" max="16384" width="0" style="4" hidden="1"/>
  </cols>
  <sheetData>
    <row r="1" spans="1:9">
      <c r="B1" s="2"/>
      <c r="C1" s="255" t="s">
        <v>0</v>
      </c>
      <c r="D1" s="258"/>
      <c r="E1" s="253" t="str">
        <f>[33]Presentacion!C3</f>
        <v>ASOC. MED. SAN JOSE - IAMPP</v>
      </c>
      <c r="F1" s="253"/>
      <c r="G1" s="136"/>
      <c r="H1" s="3"/>
    </row>
    <row r="2" spans="1:9">
      <c r="B2" s="5"/>
      <c r="C2" s="255" t="s">
        <v>1</v>
      </c>
      <c r="D2" s="258"/>
      <c r="E2" s="253" t="str">
        <f>[33]Presentacion!C4</f>
        <v>San Jose</v>
      </c>
      <c r="F2" s="253"/>
      <c r="G2" s="136"/>
      <c r="H2" s="3"/>
    </row>
    <row r="3" spans="1:9">
      <c r="B3" s="5"/>
      <c r="C3" s="263" t="s">
        <v>2</v>
      </c>
      <c r="D3" s="263"/>
      <c r="E3" s="254" t="s">
        <v>3</v>
      </c>
      <c r="F3" s="254"/>
      <c r="G3" s="136"/>
      <c r="H3" s="3"/>
    </row>
    <row r="4" spans="1:9" ht="14.25" customHeight="1" thickBot="1">
      <c r="C4" s="65"/>
      <c r="D4" s="7"/>
      <c r="E4" s="8"/>
      <c r="F4" s="9"/>
      <c r="G4" s="10"/>
    </row>
    <row r="5" spans="1:9" ht="18.75" customHeight="1" thickBot="1">
      <c r="B5" s="11"/>
      <c r="C5" s="72" t="s">
        <v>4</v>
      </c>
      <c r="D5" s="73" t="s">
        <v>5</v>
      </c>
      <c r="E5" s="137"/>
      <c r="F5" s="72" t="s">
        <v>6</v>
      </c>
      <c r="G5" s="73" t="s">
        <v>5</v>
      </c>
      <c r="I5" s="12"/>
    </row>
    <row r="6" spans="1:9" ht="12.75" customHeight="1" thickBot="1">
      <c r="B6" s="11"/>
      <c r="C6" s="75" t="s">
        <v>7</v>
      </c>
      <c r="D6" s="76">
        <f>+[33]E.S.P.!D6</f>
        <v>2021</v>
      </c>
      <c r="E6" s="138"/>
      <c r="F6" s="75" t="s">
        <v>8</v>
      </c>
      <c r="G6" s="76">
        <f>+D6</f>
        <v>2021</v>
      </c>
      <c r="H6" s="12"/>
    </row>
    <row r="7" spans="1:9">
      <c r="B7" s="5" t="s">
        <v>9</v>
      </c>
      <c r="C7" s="78" t="s">
        <v>10</v>
      </c>
      <c r="D7" s="79">
        <v>31475944</v>
      </c>
      <c r="E7" s="138" t="s">
        <v>11</v>
      </c>
      <c r="F7" s="80" t="s">
        <v>12</v>
      </c>
      <c r="G7" s="81">
        <v>10591710.32999997</v>
      </c>
    </row>
    <row r="8" spans="1:9">
      <c r="B8" s="5" t="s">
        <v>13</v>
      </c>
      <c r="C8" s="78" t="s">
        <v>14</v>
      </c>
      <c r="D8" s="79">
        <v>79709339</v>
      </c>
      <c r="E8" s="138" t="s">
        <v>15</v>
      </c>
      <c r="F8" s="78" t="s">
        <v>16</v>
      </c>
      <c r="G8" s="82">
        <v>78513946.47999987</v>
      </c>
    </row>
    <row r="9" spans="1:9">
      <c r="B9" s="5" t="s">
        <v>17</v>
      </c>
      <c r="C9" s="78" t="s">
        <v>18</v>
      </c>
      <c r="D9" s="79">
        <v>1526010929</v>
      </c>
      <c r="E9" s="138" t="s">
        <v>19</v>
      </c>
      <c r="F9" s="78" t="s">
        <v>20</v>
      </c>
      <c r="G9" s="79"/>
    </row>
    <row r="10" spans="1:9">
      <c r="B10" s="5" t="s">
        <v>21</v>
      </c>
      <c r="C10" s="78" t="s">
        <v>22</v>
      </c>
      <c r="D10" s="79">
        <v>154590036</v>
      </c>
      <c r="E10" s="138" t="s">
        <v>23</v>
      </c>
      <c r="F10" s="78" t="s">
        <v>24</v>
      </c>
      <c r="G10" s="79">
        <v>451904232.14999932</v>
      </c>
    </row>
    <row r="11" spans="1:9">
      <c r="B11" s="5" t="s">
        <v>25</v>
      </c>
      <c r="C11" s="78" t="s">
        <v>26</v>
      </c>
      <c r="D11" s="79">
        <v>35922017</v>
      </c>
      <c r="E11" s="138" t="s">
        <v>27</v>
      </c>
      <c r="F11" s="78" t="s">
        <v>28</v>
      </c>
      <c r="G11" s="79"/>
    </row>
    <row r="12" spans="1:9">
      <c r="B12" s="5" t="s">
        <v>29</v>
      </c>
      <c r="C12" s="78" t="s">
        <v>30</v>
      </c>
      <c r="D12" s="79">
        <v>25814659</v>
      </c>
      <c r="E12" s="138" t="s">
        <v>31</v>
      </c>
      <c r="F12" s="78" t="s">
        <v>32</v>
      </c>
      <c r="G12" s="79">
        <v>95452791.769999892</v>
      </c>
    </row>
    <row r="13" spans="1:9">
      <c r="B13" s="5" t="s">
        <v>33</v>
      </c>
      <c r="C13" s="78" t="s">
        <v>34</v>
      </c>
      <c r="D13" s="79">
        <v>1079723</v>
      </c>
      <c r="E13" s="138" t="s">
        <v>35</v>
      </c>
      <c r="F13" s="78" t="s">
        <v>36</v>
      </c>
      <c r="G13" s="79"/>
    </row>
    <row r="14" spans="1:9">
      <c r="A14" s="14"/>
      <c r="B14" s="5" t="s">
        <v>37</v>
      </c>
      <c r="C14" s="78" t="s">
        <v>38</v>
      </c>
      <c r="D14" s="79">
        <v>8736187</v>
      </c>
      <c r="E14" s="138" t="s">
        <v>39</v>
      </c>
      <c r="F14" s="78" t="s">
        <v>40</v>
      </c>
      <c r="G14" s="79">
        <v>230130829.86000076</v>
      </c>
    </row>
    <row r="15" spans="1:9">
      <c r="B15" s="5" t="s">
        <v>41</v>
      </c>
      <c r="C15" s="83" t="s">
        <v>42</v>
      </c>
      <c r="D15" s="79">
        <v>14456200</v>
      </c>
      <c r="E15" s="138" t="s">
        <v>43</v>
      </c>
      <c r="F15" s="78" t="s">
        <v>44</v>
      </c>
      <c r="G15" s="79">
        <v>142827797.96999964</v>
      </c>
    </row>
    <row r="16" spans="1:9">
      <c r="B16" s="5" t="s">
        <v>45</v>
      </c>
      <c r="C16" s="78" t="s">
        <v>46</v>
      </c>
      <c r="D16" s="79">
        <v>0</v>
      </c>
      <c r="E16" s="138" t="s">
        <v>47</v>
      </c>
      <c r="F16" s="78" t="s">
        <v>48</v>
      </c>
      <c r="G16" s="79">
        <v>133490638.36</v>
      </c>
    </row>
    <row r="17" spans="1:7">
      <c r="B17" s="5" t="s">
        <v>49</v>
      </c>
      <c r="C17" s="78" t="s">
        <v>50</v>
      </c>
      <c r="D17" s="79">
        <v>0</v>
      </c>
      <c r="E17" s="138" t="s">
        <v>51</v>
      </c>
      <c r="F17" s="78" t="s">
        <v>52</v>
      </c>
      <c r="G17" s="79"/>
    </row>
    <row r="18" spans="1:7">
      <c r="A18" s="14"/>
      <c r="B18" s="5" t="s">
        <v>53</v>
      </c>
      <c r="C18" s="78" t="s">
        <v>54</v>
      </c>
      <c r="D18" s="79">
        <v>0</v>
      </c>
      <c r="E18" s="138" t="s">
        <v>55</v>
      </c>
      <c r="F18" s="78" t="s">
        <v>56</v>
      </c>
      <c r="G18" s="84">
        <v>40512060</v>
      </c>
    </row>
    <row r="19" spans="1:7" ht="16.5" thickBot="1">
      <c r="A19" s="14"/>
      <c r="B19" s="5" t="s">
        <v>57</v>
      </c>
      <c r="C19" s="78" t="s">
        <v>58</v>
      </c>
      <c r="D19" s="79">
        <v>65534692</v>
      </c>
      <c r="E19" s="138"/>
      <c r="F19" s="85" t="s">
        <v>59</v>
      </c>
      <c r="G19" s="86">
        <f>SUM(G7:G18)</f>
        <v>1183424006.9199994</v>
      </c>
    </row>
    <row r="20" spans="1:7" ht="16.5" thickBot="1">
      <c r="B20" s="5"/>
      <c r="C20" s="85" t="s">
        <v>60</v>
      </c>
      <c r="D20" s="86">
        <f>SUM(D7:D19)</f>
        <v>1943329726</v>
      </c>
      <c r="E20" s="138" t="s">
        <v>61</v>
      </c>
      <c r="F20" s="80" t="s">
        <v>62</v>
      </c>
      <c r="G20" s="81">
        <v>732367.84000000206</v>
      </c>
    </row>
    <row r="21" spans="1:7">
      <c r="B21" s="5"/>
      <c r="C21" s="87" t="s">
        <v>63</v>
      </c>
      <c r="D21" s="88">
        <f>SUM(D22:D28)</f>
        <v>26564830</v>
      </c>
      <c r="E21" s="138" t="s">
        <v>64</v>
      </c>
      <c r="F21" s="78" t="s">
        <v>65</v>
      </c>
      <c r="G21" s="79">
        <v>37145795.819999941</v>
      </c>
    </row>
    <row r="22" spans="1:7">
      <c r="B22" s="5" t="s">
        <v>66</v>
      </c>
      <c r="C22" s="78" t="s">
        <v>67</v>
      </c>
      <c r="D22" s="79">
        <v>11083610</v>
      </c>
      <c r="E22" s="138" t="s">
        <v>68</v>
      </c>
      <c r="F22" s="78" t="s">
        <v>69</v>
      </c>
      <c r="G22" s="79">
        <v>4096038.8299999987</v>
      </c>
    </row>
    <row r="23" spans="1:7">
      <c r="B23" s="5" t="s">
        <v>70</v>
      </c>
      <c r="C23" s="78" t="s">
        <v>71</v>
      </c>
      <c r="D23" s="79">
        <v>1096585</v>
      </c>
      <c r="E23" s="138" t="s">
        <v>72</v>
      </c>
      <c r="F23" s="78" t="s">
        <v>73</v>
      </c>
      <c r="G23" s="79">
        <v>21528488.299999982</v>
      </c>
    </row>
    <row r="24" spans="1:7">
      <c r="B24" s="5" t="s">
        <v>74</v>
      </c>
      <c r="C24" s="78" t="s">
        <v>75</v>
      </c>
      <c r="D24" s="79">
        <v>2381585</v>
      </c>
      <c r="E24" s="138" t="s">
        <v>76</v>
      </c>
      <c r="F24" s="78" t="s">
        <v>77</v>
      </c>
      <c r="G24" s="79"/>
    </row>
    <row r="25" spans="1:7">
      <c r="B25" s="5" t="s">
        <v>78</v>
      </c>
      <c r="C25" s="78" t="s">
        <v>79</v>
      </c>
      <c r="D25" s="79">
        <v>42141</v>
      </c>
      <c r="E25" s="138" t="s">
        <v>80</v>
      </c>
      <c r="F25" s="78" t="s">
        <v>81</v>
      </c>
      <c r="G25" s="79">
        <v>6819773.6600000085</v>
      </c>
    </row>
    <row r="26" spans="1:7">
      <c r="B26" s="5" t="s">
        <v>82</v>
      </c>
      <c r="C26" s="78" t="s">
        <v>83</v>
      </c>
      <c r="D26" s="79">
        <v>3249525</v>
      </c>
      <c r="E26" s="138" t="s">
        <v>84</v>
      </c>
      <c r="F26" s="78" t="s">
        <v>85</v>
      </c>
      <c r="G26" s="84">
        <v>2497653</v>
      </c>
    </row>
    <row r="27" spans="1:7" ht="13.5" customHeight="1" thickBot="1">
      <c r="B27" s="5" t="s">
        <v>86</v>
      </c>
      <c r="C27" s="78" t="s">
        <v>87</v>
      </c>
      <c r="D27" s="79">
        <v>7880204</v>
      </c>
      <c r="E27" s="138"/>
      <c r="F27" s="85" t="s">
        <v>88</v>
      </c>
      <c r="G27" s="86">
        <f>SUM(G20:G26)</f>
        <v>72820117.449999928</v>
      </c>
    </row>
    <row r="28" spans="1:7">
      <c r="B28" s="5" t="s">
        <v>89</v>
      </c>
      <c r="C28" s="78" t="s">
        <v>90</v>
      </c>
      <c r="D28" s="79">
        <v>831180</v>
      </c>
      <c r="E28" s="138" t="s">
        <v>91</v>
      </c>
      <c r="F28" s="80" t="s">
        <v>92</v>
      </c>
      <c r="G28" s="81">
        <v>109647721</v>
      </c>
    </row>
    <row r="29" spans="1:7">
      <c r="B29" s="5"/>
      <c r="C29" s="89" t="s">
        <v>93</v>
      </c>
      <c r="D29" s="88">
        <f>SUM(D30:D34)</f>
        <v>79313320</v>
      </c>
      <c r="E29" s="138" t="s">
        <v>94</v>
      </c>
      <c r="F29" s="78" t="s">
        <v>95</v>
      </c>
      <c r="G29" s="79">
        <v>25208001</v>
      </c>
    </row>
    <row r="30" spans="1:7">
      <c r="B30" s="5" t="s">
        <v>96</v>
      </c>
      <c r="C30" s="78" t="s">
        <v>97</v>
      </c>
      <c r="D30" s="79">
        <v>68999761</v>
      </c>
      <c r="E30" s="138" t="s">
        <v>98</v>
      </c>
      <c r="F30" s="78" t="s">
        <v>99</v>
      </c>
      <c r="G30" s="79">
        <v>37052045</v>
      </c>
    </row>
    <row r="31" spans="1:7">
      <c r="B31" s="5" t="s">
        <v>100</v>
      </c>
      <c r="C31" s="78" t="s">
        <v>101</v>
      </c>
      <c r="D31" s="79">
        <v>0</v>
      </c>
      <c r="E31" s="138" t="s">
        <v>102</v>
      </c>
      <c r="F31" s="78" t="s">
        <v>103</v>
      </c>
      <c r="G31" s="84">
        <v>5787729</v>
      </c>
    </row>
    <row r="32" spans="1:7" ht="16.5" thickBot="1">
      <c r="B32" s="5" t="s">
        <v>104</v>
      </c>
      <c r="C32" s="78" t="s">
        <v>105</v>
      </c>
      <c r="D32" s="79">
        <v>7711751</v>
      </c>
      <c r="E32" s="138"/>
      <c r="F32" s="85" t="s">
        <v>106</v>
      </c>
      <c r="G32" s="86">
        <f>SUM(G28:G31)</f>
        <v>177695496</v>
      </c>
    </row>
    <row r="33" spans="2:7">
      <c r="B33" s="5" t="s">
        <v>107</v>
      </c>
      <c r="C33" s="78" t="s">
        <v>108</v>
      </c>
      <c r="D33" s="79">
        <v>0</v>
      </c>
      <c r="E33" s="138"/>
      <c r="F33" s="89" t="s">
        <v>109</v>
      </c>
      <c r="G33" s="88">
        <f>SUM(G34:G39)</f>
        <v>133356179.81999999</v>
      </c>
    </row>
    <row r="34" spans="2:7">
      <c r="B34" s="5" t="s">
        <v>110</v>
      </c>
      <c r="C34" s="78" t="s">
        <v>111</v>
      </c>
      <c r="D34" s="79">
        <v>2601808</v>
      </c>
      <c r="E34" s="138" t="s">
        <v>112</v>
      </c>
      <c r="F34" s="78" t="s">
        <v>113</v>
      </c>
      <c r="G34" s="79">
        <v>7393411.2300000004</v>
      </c>
    </row>
    <row r="35" spans="2:7" ht="16.5" thickBot="1">
      <c r="B35" s="5"/>
      <c r="C35" s="85" t="s">
        <v>114</v>
      </c>
      <c r="D35" s="86">
        <f>+D21+D29</f>
        <v>105878150</v>
      </c>
      <c r="E35" s="138" t="s">
        <v>115</v>
      </c>
      <c r="F35" s="78" t="s">
        <v>116</v>
      </c>
      <c r="G35" s="79">
        <v>5657561.0499999998</v>
      </c>
    </row>
    <row r="36" spans="2:7">
      <c r="B36" s="5" t="s">
        <v>117</v>
      </c>
      <c r="C36" s="78" t="s">
        <v>118</v>
      </c>
      <c r="D36" s="79">
        <v>5405548</v>
      </c>
      <c r="E36" s="138" t="s">
        <v>119</v>
      </c>
      <c r="F36" s="78" t="s">
        <v>517</v>
      </c>
      <c r="G36" s="79">
        <v>2329904.9400000004</v>
      </c>
    </row>
    <row r="37" spans="2:7">
      <c r="B37" s="5" t="s">
        <v>120</v>
      </c>
      <c r="C37" s="78" t="s">
        <v>121</v>
      </c>
      <c r="D37" s="79">
        <v>11146349</v>
      </c>
      <c r="E37" s="138" t="s">
        <v>122</v>
      </c>
      <c r="F37" s="78" t="s">
        <v>123</v>
      </c>
      <c r="G37" s="79">
        <v>8299858.7800000003</v>
      </c>
    </row>
    <row r="38" spans="2:7">
      <c r="B38" s="5" t="s">
        <v>124</v>
      </c>
      <c r="C38" s="78" t="s">
        <v>125</v>
      </c>
      <c r="D38" s="79">
        <v>0</v>
      </c>
      <c r="E38" s="138" t="s">
        <v>126</v>
      </c>
      <c r="F38" s="78" t="s">
        <v>127</v>
      </c>
      <c r="G38" s="79">
        <v>11123586.520000001</v>
      </c>
    </row>
    <row r="39" spans="2:7">
      <c r="B39" s="5" t="s">
        <v>128</v>
      </c>
      <c r="C39" s="78" t="s">
        <v>129</v>
      </c>
      <c r="D39" s="79">
        <v>6620110</v>
      </c>
      <c r="E39" s="138" t="s">
        <v>130</v>
      </c>
      <c r="F39" s="78" t="s">
        <v>131</v>
      </c>
      <c r="G39" s="79">
        <v>98551857.299999997</v>
      </c>
    </row>
    <row r="40" spans="2:7">
      <c r="B40" s="5" t="s">
        <v>132</v>
      </c>
      <c r="C40" s="78" t="s">
        <v>133</v>
      </c>
      <c r="D40" s="79">
        <v>869800</v>
      </c>
      <c r="E40" s="138"/>
      <c r="F40" s="90" t="s">
        <v>134</v>
      </c>
      <c r="G40" s="91">
        <f>SUM(G41:G46)</f>
        <v>19956358.349999998</v>
      </c>
    </row>
    <row r="41" spans="2:7">
      <c r="B41" s="5" t="s">
        <v>135</v>
      </c>
      <c r="C41" s="78" t="s">
        <v>136</v>
      </c>
      <c r="D41" s="79">
        <v>46130265</v>
      </c>
      <c r="E41" s="138" t="s">
        <v>137</v>
      </c>
      <c r="F41" s="78" t="s">
        <v>138</v>
      </c>
      <c r="G41" s="79">
        <v>58368.72</v>
      </c>
    </row>
    <row r="42" spans="2:7">
      <c r="B42" s="5" t="s">
        <v>139</v>
      </c>
      <c r="C42" s="78" t="s">
        <v>140</v>
      </c>
      <c r="D42" s="79">
        <v>23957089</v>
      </c>
      <c r="E42" s="138" t="s">
        <v>141</v>
      </c>
      <c r="F42" s="78" t="s">
        <v>142</v>
      </c>
      <c r="G42" s="79">
        <v>35969.040000000001</v>
      </c>
    </row>
    <row r="43" spans="2:7">
      <c r="B43" s="5" t="s">
        <v>143</v>
      </c>
      <c r="C43" s="78" t="s">
        <v>144</v>
      </c>
      <c r="D43" s="79">
        <v>0</v>
      </c>
      <c r="E43" s="138" t="s">
        <v>145</v>
      </c>
      <c r="F43" s="78" t="s">
        <v>146</v>
      </c>
      <c r="G43" s="79">
        <v>1786307.03</v>
      </c>
    </row>
    <row r="44" spans="2:7">
      <c r="B44" s="5" t="s">
        <v>147</v>
      </c>
      <c r="C44" s="78" t="s">
        <v>148</v>
      </c>
      <c r="D44" s="79">
        <v>0</v>
      </c>
      <c r="E44" s="138" t="s">
        <v>149</v>
      </c>
      <c r="F44" s="78" t="s">
        <v>150</v>
      </c>
      <c r="G44" s="79">
        <v>926498.09</v>
      </c>
    </row>
    <row r="45" spans="2:7">
      <c r="B45" s="5" t="s">
        <v>151</v>
      </c>
      <c r="C45" s="78" t="s">
        <v>152</v>
      </c>
      <c r="D45" s="79">
        <v>40543545</v>
      </c>
      <c r="E45" s="138" t="s">
        <v>153</v>
      </c>
      <c r="F45" s="78" t="s">
        <v>154</v>
      </c>
      <c r="G45" s="79">
        <v>1430830.26</v>
      </c>
    </row>
    <row r="46" spans="2:7">
      <c r="B46" s="5" t="s">
        <v>155</v>
      </c>
      <c r="C46" s="78" t="s">
        <v>156</v>
      </c>
      <c r="D46" s="79">
        <v>4211076</v>
      </c>
      <c r="E46" s="138" t="s">
        <v>157</v>
      </c>
      <c r="F46" s="78" t="s">
        <v>158</v>
      </c>
      <c r="G46" s="79">
        <v>15718385.209999999</v>
      </c>
    </row>
    <row r="47" spans="2:7" ht="16.5" thickBot="1">
      <c r="B47" s="5"/>
      <c r="C47" s="85" t="s">
        <v>159</v>
      </c>
      <c r="D47" s="86">
        <f>SUM(D36:D46)</f>
        <v>138883782</v>
      </c>
      <c r="E47" s="138" t="s">
        <v>160</v>
      </c>
      <c r="F47" s="78" t="s">
        <v>161</v>
      </c>
      <c r="G47" s="84">
        <v>5308446</v>
      </c>
    </row>
    <row r="48" spans="2:7" ht="16.5" thickBot="1">
      <c r="B48" s="5"/>
      <c r="C48" s="92" t="s">
        <v>162</v>
      </c>
      <c r="D48" s="93"/>
      <c r="E48" s="138"/>
      <c r="F48" s="85" t="s">
        <v>163</v>
      </c>
      <c r="G48" s="94">
        <f>+G33+G40+G47</f>
        <v>158620984.16999999</v>
      </c>
    </row>
    <row r="49" spans="2:7">
      <c r="B49" s="5" t="s">
        <v>164</v>
      </c>
      <c r="C49" s="95" t="s">
        <v>165</v>
      </c>
      <c r="D49" s="96">
        <v>0</v>
      </c>
      <c r="E49" s="138" t="s">
        <v>166</v>
      </c>
      <c r="F49" s="80" t="s">
        <v>167</v>
      </c>
      <c r="G49" s="81">
        <v>41840187.580000006</v>
      </c>
    </row>
    <row r="50" spans="2:7">
      <c r="B50" s="5" t="s">
        <v>168</v>
      </c>
      <c r="C50" s="78" t="s">
        <v>162</v>
      </c>
      <c r="D50" s="79">
        <v>14606060</v>
      </c>
      <c r="E50" s="138" t="s">
        <v>169</v>
      </c>
      <c r="F50" s="78" t="s">
        <v>170</v>
      </c>
      <c r="G50" s="79">
        <v>45271474.890000001</v>
      </c>
    </row>
    <row r="51" spans="2:7">
      <c r="B51" s="5" t="s">
        <v>171</v>
      </c>
      <c r="C51" s="78" t="s">
        <v>172</v>
      </c>
      <c r="D51" s="84">
        <v>0</v>
      </c>
      <c r="E51" s="138" t="s">
        <v>173</v>
      </c>
      <c r="F51" s="78" t="s">
        <v>174</v>
      </c>
      <c r="G51" s="79">
        <v>5989701.5100000007</v>
      </c>
    </row>
    <row r="52" spans="2:7" ht="16.5" thickBot="1">
      <c r="B52" s="11"/>
      <c r="C52" s="85" t="s">
        <v>175</v>
      </c>
      <c r="D52" s="86">
        <f>SUM(D49:D51)</f>
        <v>14606060</v>
      </c>
      <c r="E52" s="138" t="s">
        <v>176</v>
      </c>
      <c r="F52" s="78" t="s">
        <v>177</v>
      </c>
      <c r="G52" s="79">
        <v>1150120.0800000003</v>
      </c>
    </row>
    <row r="53" spans="2:7" ht="16.5" thickBot="1">
      <c r="B53" s="5"/>
      <c r="C53" s="75" t="s">
        <v>178</v>
      </c>
      <c r="D53" s="97">
        <f>D20+D35+D47+D52</f>
        <v>2202697718</v>
      </c>
      <c r="E53" s="138" t="s">
        <v>179</v>
      </c>
      <c r="F53" s="78" t="s">
        <v>180</v>
      </c>
      <c r="G53" s="79">
        <v>21126998.229999915</v>
      </c>
    </row>
    <row r="54" spans="2:7">
      <c r="C54" s="98"/>
      <c r="D54" s="99"/>
      <c r="E54" s="138" t="s">
        <v>181</v>
      </c>
      <c r="F54" s="78" t="s">
        <v>182</v>
      </c>
      <c r="G54" s="79">
        <v>13962287.069999997</v>
      </c>
    </row>
    <row r="55" spans="2:7">
      <c r="C55" s="100" t="s">
        <v>183</v>
      </c>
      <c r="D55" s="101"/>
      <c r="E55" s="138" t="s">
        <v>184</v>
      </c>
      <c r="F55" s="78" t="s">
        <v>185</v>
      </c>
      <c r="G55" s="79">
        <v>3191369.0299999961</v>
      </c>
    </row>
    <row r="56" spans="2:7">
      <c r="B56" s="5" t="s">
        <v>186</v>
      </c>
      <c r="C56" s="102" t="s">
        <v>187</v>
      </c>
      <c r="D56" s="79"/>
      <c r="E56" s="138" t="s">
        <v>188</v>
      </c>
      <c r="F56" s="78" t="s">
        <v>189</v>
      </c>
      <c r="G56" s="84">
        <v>4613914</v>
      </c>
    </row>
    <row r="57" spans="2:7" ht="14.25" customHeight="1" thickBot="1">
      <c r="B57" s="5" t="s">
        <v>190</v>
      </c>
      <c r="C57" s="102" t="s">
        <v>191</v>
      </c>
      <c r="D57" s="79"/>
      <c r="E57" s="138"/>
      <c r="F57" s="85" t="s">
        <v>192</v>
      </c>
      <c r="G57" s="86">
        <f>SUM(G49:G56)</f>
        <v>137146052.38999993</v>
      </c>
    </row>
    <row r="58" spans="2:7">
      <c r="B58" s="5" t="s">
        <v>193</v>
      </c>
      <c r="C58" s="102" t="s">
        <v>194</v>
      </c>
      <c r="D58" s="79"/>
      <c r="E58" s="138" t="s">
        <v>195</v>
      </c>
      <c r="F58" s="80" t="s">
        <v>196</v>
      </c>
      <c r="G58" s="81">
        <v>4821941.2599999988</v>
      </c>
    </row>
    <row r="59" spans="2:7">
      <c r="B59" s="5" t="s">
        <v>197</v>
      </c>
      <c r="C59" s="78" t="s">
        <v>198</v>
      </c>
      <c r="D59" s="84"/>
      <c r="E59" s="138" t="s">
        <v>199</v>
      </c>
      <c r="F59" s="78" t="s">
        <v>200</v>
      </c>
      <c r="G59" s="79">
        <v>43483035.379999988</v>
      </c>
    </row>
    <row r="60" spans="2:7" ht="16.5" thickBot="1">
      <c r="B60" s="5"/>
      <c r="C60" s="85" t="s">
        <v>201</v>
      </c>
      <c r="D60" s="86">
        <f>SUM(D56:D59)</f>
        <v>0</v>
      </c>
      <c r="E60" s="138" t="s">
        <v>202</v>
      </c>
      <c r="F60" s="78" t="s">
        <v>203</v>
      </c>
      <c r="G60" s="79">
        <v>8593300.8800000027</v>
      </c>
    </row>
    <row r="61" spans="2:7" ht="16.5" thickBot="1">
      <c r="B61" s="15"/>
      <c r="C61" s="72" t="s">
        <v>204</v>
      </c>
      <c r="D61" s="103">
        <f>D53+D60</f>
        <v>2202697718</v>
      </c>
      <c r="E61" s="138" t="s">
        <v>205</v>
      </c>
      <c r="F61" s="78" t="s">
        <v>206</v>
      </c>
      <c r="G61" s="79">
        <v>8637679.4100000001</v>
      </c>
    </row>
    <row r="62" spans="2:7">
      <c r="B62" s="16"/>
      <c r="C62" s="116"/>
      <c r="D62" s="116"/>
      <c r="E62" s="138" t="s">
        <v>207</v>
      </c>
      <c r="F62" s="78" t="s">
        <v>208</v>
      </c>
      <c r="G62" s="79"/>
    </row>
    <row r="63" spans="2:7">
      <c r="B63" s="17"/>
      <c r="C63" s="222" t="s">
        <v>8</v>
      </c>
      <c r="D63" s="222"/>
      <c r="E63" s="138" t="s">
        <v>209</v>
      </c>
      <c r="F63" s="78" t="s">
        <v>210</v>
      </c>
      <c r="G63" s="79">
        <v>18902906.029999997</v>
      </c>
    </row>
    <row r="64" spans="2:7">
      <c r="B64" s="18" t="s">
        <v>211</v>
      </c>
      <c r="C64" s="223" t="s">
        <v>212</v>
      </c>
      <c r="D64" s="223">
        <f>[33]Amortizaciones!D6</f>
        <v>21967159.099999987</v>
      </c>
      <c r="E64" s="138" t="s">
        <v>213</v>
      </c>
      <c r="F64" s="78" t="s">
        <v>214</v>
      </c>
      <c r="G64" s="79">
        <v>1528794.8299999998</v>
      </c>
    </row>
    <row r="65" spans="2:7">
      <c r="B65" s="18" t="s">
        <v>215</v>
      </c>
      <c r="C65" s="223" t="s">
        <v>216</v>
      </c>
      <c r="D65" s="223">
        <f>[33]Amortizaciones!D7</f>
        <v>0</v>
      </c>
      <c r="E65" s="138" t="s">
        <v>217</v>
      </c>
      <c r="F65" s="78" t="s">
        <v>218</v>
      </c>
      <c r="G65" s="79">
        <v>699560.37</v>
      </c>
    </row>
    <row r="66" spans="2:7">
      <c r="B66" s="18" t="s">
        <v>219</v>
      </c>
      <c r="C66" s="223" t="s">
        <v>220</v>
      </c>
      <c r="D66" s="223">
        <f>[33]Amortizaciones!D8</f>
        <v>10318908.679999998</v>
      </c>
      <c r="E66" s="138" t="s">
        <v>221</v>
      </c>
      <c r="F66" s="78" t="s">
        <v>222</v>
      </c>
      <c r="G66" s="79">
        <v>12374930.030000001</v>
      </c>
    </row>
    <row r="67" spans="2:7">
      <c r="B67" s="18" t="s">
        <v>223</v>
      </c>
      <c r="C67" s="223" t="s">
        <v>224</v>
      </c>
      <c r="D67" s="223">
        <f>[33]Amortizaciones!D9</f>
        <v>0</v>
      </c>
      <c r="E67" s="138" t="s">
        <v>225</v>
      </c>
      <c r="F67" s="78" t="s">
        <v>226</v>
      </c>
      <c r="G67" s="79">
        <v>394185.70999999996</v>
      </c>
    </row>
    <row r="68" spans="2:7">
      <c r="B68" s="18" t="s">
        <v>227</v>
      </c>
      <c r="C68" s="223" t="s">
        <v>228</v>
      </c>
      <c r="D68" s="223">
        <f>[33]Amortizaciones!D10</f>
        <v>1013316.1800000004</v>
      </c>
      <c r="E68" s="138" t="s">
        <v>229</v>
      </c>
      <c r="F68" s="78" t="s">
        <v>230</v>
      </c>
      <c r="G68" s="79"/>
    </row>
    <row r="69" spans="2:7">
      <c r="B69" s="18" t="s">
        <v>231</v>
      </c>
      <c r="C69" s="223" t="s">
        <v>232</v>
      </c>
      <c r="D69" s="223">
        <f>[33]Amortizaciones!D11</f>
        <v>1193877.9200000006</v>
      </c>
      <c r="E69" s="138" t="s">
        <v>233</v>
      </c>
      <c r="F69" s="78" t="s">
        <v>234</v>
      </c>
      <c r="G69" s="79">
        <v>2001621.2</v>
      </c>
    </row>
    <row r="70" spans="2:7">
      <c r="B70" s="18" t="s">
        <v>235</v>
      </c>
      <c r="C70" s="223" t="s">
        <v>236</v>
      </c>
      <c r="D70" s="223">
        <f>[33]Amortizaciones!D12</f>
        <v>2169130.6500000013</v>
      </c>
      <c r="E70" s="138" t="s">
        <v>237</v>
      </c>
      <c r="F70" s="78" t="s">
        <v>238</v>
      </c>
      <c r="G70" s="79">
        <v>2388921.5</v>
      </c>
    </row>
    <row r="71" spans="2:7">
      <c r="B71" s="18" t="s">
        <v>239</v>
      </c>
      <c r="C71" s="223" t="s">
        <v>240</v>
      </c>
      <c r="D71" s="223">
        <f>[33]Amortizaciones!D13</f>
        <v>4256487.5599999996</v>
      </c>
      <c r="E71" s="138" t="s">
        <v>241</v>
      </c>
      <c r="F71" s="78" t="s">
        <v>242</v>
      </c>
      <c r="G71" s="79"/>
    </row>
    <row r="72" spans="2:7">
      <c r="B72" s="18" t="s">
        <v>243</v>
      </c>
      <c r="C72" s="223" t="s">
        <v>244</v>
      </c>
      <c r="D72" s="223">
        <f>[33]Amortizaciones!D14</f>
        <v>5285500.8500000006</v>
      </c>
      <c r="E72" s="138" t="s">
        <v>245</v>
      </c>
      <c r="F72" s="78" t="s">
        <v>246</v>
      </c>
      <c r="G72" s="79">
        <v>4957856.3699999992</v>
      </c>
    </row>
    <row r="73" spans="2:7">
      <c r="B73" s="18" t="s">
        <v>247</v>
      </c>
      <c r="C73" s="223" t="s">
        <v>248</v>
      </c>
      <c r="D73" s="223">
        <f>[33]Amortizaciones!D15</f>
        <v>0</v>
      </c>
      <c r="E73" s="138" t="s">
        <v>249</v>
      </c>
      <c r="F73" s="78" t="s">
        <v>250</v>
      </c>
      <c r="G73" s="79"/>
    </row>
    <row r="74" spans="2:7">
      <c r="B74" s="18" t="s">
        <v>251</v>
      </c>
      <c r="C74" s="223" t="s">
        <v>252</v>
      </c>
      <c r="D74" s="223">
        <f>[33]Amortizaciones!D16</f>
        <v>5494302.4200000018</v>
      </c>
      <c r="E74" s="138" t="s">
        <v>253</v>
      </c>
      <c r="F74" s="78" t="s">
        <v>254</v>
      </c>
      <c r="G74" s="79"/>
    </row>
    <row r="75" spans="2:7">
      <c r="B75" s="18" t="s">
        <v>255</v>
      </c>
      <c r="C75" s="223" t="s">
        <v>256</v>
      </c>
      <c r="D75" s="223">
        <f>[33]Amortizaciones!D17</f>
        <v>0</v>
      </c>
      <c r="E75" s="138" t="s">
        <v>257</v>
      </c>
      <c r="F75" s="78" t="s">
        <v>258</v>
      </c>
      <c r="G75" s="79">
        <v>9160106.8700000029</v>
      </c>
    </row>
    <row r="76" spans="2:7">
      <c r="B76" s="18" t="s">
        <v>259</v>
      </c>
      <c r="C76" s="223" t="s">
        <v>260</v>
      </c>
      <c r="D76" s="223">
        <f>[33]Amortizaciones!D18</f>
        <v>0</v>
      </c>
      <c r="E76" s="138" t="s">
        <v>261</v>
      </c>
      <c r="F76" s="78" t="s">
        <v>262</v>
      </c>
      <c r="G76" s="79">
        <v>8143114.7900000019</v>
      </c>
    </row>
    <row r="77" spans="2:7">
      <c r="B77" s="18" t="s">
        <v>263</v>
      </c>
      <c r="C77" s="223" t="s">
        <v>264</v>
      </c>
      <c r="D77" s="223">
        <f>SUM(D64:D76)</f>
        <v>51698683.359999992</v>
      </c>
      <c r="E77" s="138" t="s">
        <v>265</v>
      </c>
      <c r="F77" s="78" t="s">
        <v>266</v>
      </c>
      <c r="G77" s="79">
        <v>22901563</v>
      </c>
    </row>
    <row r="78" spans="2:7">
      <c r="B78" s="18"/>
      <c r="C78" s="223"/>
      <c r="D78" s="223"/>
      <c r="E78" s="138" t="s">
        <v>267</v>
      </c>
      <c r="F78" s="78" t="s">
        <v>268</v>
      </c>
      <c r="G78" s="84">
        <v>5047125</v>
      </c>
    </row>
    <row r="79" spans="2:7" ht="16.5" thickBot="1">
      <c r="B79" s="18"/>
      <c r="C79" s="222" t="s">
        <v>269</v>
      </c>
      <c r="D79" s="224"/>
      <c r="E79" s="138"/>
      <c r="F79" s="85" t="s">
        <v>270</v>
      </c>
      <c r="G79" s="86">
        <f>SUM(G58:G78)</f>
        <v>154036642.63</v>
      </c>
    </row>
    <row r="80" spans="2:7">
      <c r="B80" s="18" t="s">
        <v>271</v>
      </c>
      <c r="C80" s="223" t="s">
        <v>236</v>
      </c>
      <c r="D80" s="223">
        <f>[33]Amortizaciones!D22</f>
        <v>61875.72</v>
      </c>
      <c r="E80" s="138" t="s">
        <v>272</v>
      </c>
      <c r="F80" s="80" t="s">
        <v>273</v>
      </c>
      <c r="G80" s="81">
        <v>3405132.1400000127</v>
      </c>
    </row>
    <row r="81" spans="2:7">
      <c r="B81" s="18" t="s">
        <v>274</v>
      </c>
      <c r="C81" s="223" t="s">
        <v>240</v>
      </c>
      <c r="D81" s="223">
        <f>[33]Amortizaciones!D23</f>
        <v>0</v>
      </c>
      <c r="E81" s="138" t="s">
        <v>275</v>
      </c>
      <c r="F81" s="78" t="s">
        <v>276</v>
      </c>
      <c r="G81" s="79">
        <v>20991786.690000039</v>
      </c>
    </row>
    <row r="82" spans="2:7">
      <c r="B82" s="18" t="s">
        <v>277</v>
      </c>
      <c r="C82" s="223" t="s">
        <v>244</v>
      </c>
      <c r="D82" s="223">
        <f>[33]Amortizaciones!D24</f>
        <v>404403.64</v>
      </c>
      <c r="E82" s="138" t="s">
        <v>278</v>
      </c>
      <c r="F82" s="78" t="s">
        <v>279</v>
      </c>
      <c r="G82" s="79">
        <v>7520773.7499999898</v>
      </c>
    </row>
    <row r="83" spans="2:7">
      <c r="B83" s="18" t="s">
        <v>280</v>
      </c>
      <c r="C83" s="223" t="s">
        <v>248</v>
      </c>
      <c r="D83" s="223">
        <f>[33]Amortizaciones!D25</f>
        <v>0</v>
      </c>
      <c r="E83" s="138" t="s">
        <v>281</v>
      </c>
      <c r="F83" s="78" t="s">
        <v>282</v>
      </c>
      <c r="G83" s="79">
        <v>5602837.4300000006</v>
      </c>
    </row>
    <row r="84" spans="2:7">
      <c r="B84" s="18" t="s">
        <v>283</v>
      </c>
      <c r="C84" s="223" t="s">
        <v>284</v>
      </c>
      <c r="D84" s="223">
        <v>0</v>
      </c>
      <c r="E84" s="138" t="s">
        <v>285</v>
      </c>
      <c r="F84" s="78" t="s">
        <v>286</v>
      </c>
      <c r="G84" s="79">
        <v>9643391.9299999829</v>
      </c>
    </row>
    <row r="85" spans="2:7">
      <c r="B85" s="18" t="s">
        <v>287</v>
      </c>
      <c r="C85" s="223" t="s">
        <v>288</v>
      </c>
      <c r="D85" s="223">
        <f>[33]Amortizaciones!D27</f>
        <v>0</v>
      </c>
      <c r="E85" s="138" t="s">
        <v>289</v>
      </c>
      <c r="F85" s="78" t="s">
        <v>290</v>
      </c>
      <c r="G85" s="79">
        <v>9235431.6800000016</v>
      </c>
    </row>
    <row r="86" spans="2:7" ht="13.5" customHeight="1">
      <c r="B86" s="18" t="s">
        <v>291</v>
      </c>
      <c r="C86" s="223" t="s">
        <v>292</v>
      </c>
      <c r="D86" s="223">
        <f>[33]Amortizaciones!D28</f>
        <v>0</v>
      </c>
      <c r="E86" s="138" t="s">
        <v>293</v>
      </c>
      <c r="F86" s="78" t="s">
        <v>294</v>
      </c>
      <c r="G86" s="79">
        <v>3776147.790000001</v>
      </c>
    </row>
    <row r="87" spans="2:7" ht="13.5" customHeight="1">
      <c r="B87" s="18" t="s">
        <v>295</v>
      </c>
      <c r="C87" s="223" t="s">
        <v>296</v>
      </c>
      <c r="D87" s="223">
        <f>[33]Amortizaciones!D29</f>
        <v>0</v>
      </c>
      <c r="E87" s="138" t="s">
        <v>297</v>
      </c>
      <c r="F87" s="78" t="s">
        <v>298</v>
      </c>
      <c r="G87" s="79">
        <v>1403565.2000000002</v>
      </c>
    </row>
    <row r="88" spans="2:7" ht="13.5" customHeight="1">
      <c r="B88" s="18" t="s">
        <v>299</v>
      </c>
      <c r="C88" s="223" t="s">
        <v>300</v>
      </c>
      <c r="D88" s="223">
        <f>[33]Amortizaciones!D30</f>
        <v>27450</v>
      </c>
      <c r="E88" s="138" t="s">
        <v>301</v>
      </c>
      <c r="F88" s="78" t="s">
        <v>302</v>
      </c>
      <c r="G88" s="79">
        <v>7120245.3100000005</v>
      </c>
    </row>
    <row r="89" spans="2:7">
      <c r="B89" s="18" t="s">
        <v>303</v>
      </c>
      <c r="C89" s="223" t="s">
        <v>212</v>
      </c>
      <c r="D89" s="223">
        <f>[33]Amortizaciones!D31</f>
        <v>1246915.82</v>
      </c>
      <c r="E89" s="138" t="s">
        <v>304</v>
      </c>
      <c r="F89" s="78" t="s">
        <v>305</v>
      </c>
      <c r="G89" s="79">
        <v>36113581.990000255</v>
      </c>
    </row>
    <row r="90" spans="2:7" ht="14.25" customHeight="1">
      <c r="B90" s="18" t="s">
        <v>306</v>
      </c>
      <c r="C90" s="223" t="s">
        <v>228</v>
      </c>
      <c r="D90" s="223">
        <f>[33]Amortizaciones!D32</f>
        <v>195970.88999999998</v>
      </c>
      <c r="E90" s="138" t="s">
        <v>307</v>
      </c>
      <c r="F90" s="78" t="s">
        <v>308</v>
      </c>
      <c r="G90" s="79">
        <v>3277991.94</v>
      </c>
    </row>
    <row r="91" spans="2:7" ht="14.25" customHeight="1">
      <c r="B91" s="18" t="s">
        <v>309</v>
      </c>
      <c r="C91" s="223" t="s">
        <v>310</v>
      </c>
      <c r="D91" s="223">
        <f>SUM(D80:D90)</f>
        <v>1936616.07</v>
      </c>
      <c r="E91" s="225" t="s">
        <v>311</v>
      </c>
      <c r="F91" s="78" t="s">
        <v>312</v>
      </c>
      <c r="G91" s="79">
        <v>1571960.1700000009</v>
      </c>
    </row>
    <row r="92" spans="2:7" ht="14.25" customHeight="1">
      <c r="B92" s="18"/>
      <c r="C92" s="226" t="s">
        <v>313</v>
      </c>
      <c r="D92" s="223">
        <f>D77+D91</f>
        <v>53635299.429999992</v>
      </c>
      <c r="E92" s="225" t="s">
        <v>314</v>
      </c>
      <c r="F92" s="78" t="s">
        <v>315</v>
      </c>
      <c r="G92" s="79"/>
    </row>
    <row r="93" spans="2:7">
      <c r="C93" s="116"/>
      <c r="D93" s="116"/>
      <c r="E93" s="225" t="s">
        <v>316</v>
      </c>
      <c r="F93" s="78" t="s">
        <v>317</v>
      </c>
      <c r="G93" s="79">
        <v>1022732</v>
      </c>
    </row>
    <row r="94" spans="2:7">
      <c r="C94" s="116"/>
      <c r="D94" s="116"/>
      <c r="E94" s="225" t="s">
        <v>318</v>
      </c>
      <c r="F94" s="78" t="s">
        <v>319</v>
      </c>
      <c r="G94" s="84">
        <v>3476687</v>
      </c>
    </row>
    <row r="95" spans="2:7" ht="13.5" customHeight="1" thickBot="1">
      <c r="C95" s="116"/>
      <c r="D95" s="116"/>
      <c r="E95" s="138"/>
      <c r="F95" s="85" t="s">
        <v>320</v>
      </c>
      <c r="G95" s="86">
        <f>SUM(G80:G94)</f>
        <v>114162265.02000029</v>
      </c>
    </row>
    <row r="96" spans="2:7">
      <c r="C96" s="116"/>
      <c r="D96" s="116"/>
      <c r="E96" s="225" t="s">
        <v>321</v>
      </c>
      <c r="F96" s="80" t="s">
        <v>322</v>
      </c>
      <c r="G96" s="81">
        <v>12289065.699999984</v>
      </c>
    </row>
    <row r="97" spans="2:7">
      <c r="C97" s="116"/>
      <c r="D97" s="116"/>
      <c r="E97" s="225" t="s">
        <v>323</v>
      </c>
      <c r="F97" s="78" t="s">
        <v>324</v>
      </c>
      <c r="G97" s="79">
        <v>11047738.91</v>
      </c>
    </row>
    <row r="98" spans="2:7">
      <c r="C98" s="116"/>
      <c r="D98" s="116"/>
      <c r="E98" s="225" t="s">
        <v>325</v>
      </c>
      <c r="F98" s="78" t="s">
        <v>326</v>
      </c>
      <c r="G98" s="79">
        <v>1993379.2899999991</v>
      </c>
    </row>
    <row r="99" spans="2:7">
      <c r="C99" s="116"/>
      <c r="D99" s="116"/>
      <c r="E99" s="225" t="s">
        <v>327</v>
      </c>
      <c r="F99" s="78" t="s">
        <v>328</v>
      </c>
      <c r="G99" s="79">
        <v>8916661</v>
      </c>
    </row>
    <row r="100" spans="2:7">
      <c r="C100" s="116"/>
      <c r="D100" s="116"/>
      <c r="E100" s="225" t="s">
        <v>329</v>
      </c>
      <c r="F100" s="78" t="s">
        <v>330</v>
      </c>
      <c r="G100" s="84">
        <v>1172592</v>
      </c>
    </row>
    <row r="101" spans="2:7" ht="12.75" customHeight="1" thickBot="1">
      <c r="C101" s="116"/>
      <c r="D101" s="116"/>
      <c r="E101" s="138"/>
      <c r="F101" s="85" t="s">
        <v>331</v>
      </c>
      <c r="G101" s="86">
        <f>SUM(G96:G100)</f>
        <v>35419436.899999984</v>
      </c>
    </row>
    <row r="102" spans="2:7" ht="12.75" customHeight="1" thickBot="1">
      <c r="C102" s="116"/>
      <c r="D102" s="116"/>
      <c r="E102" s="225"/>
      <c r="F102" s="110" t="s">
        <v>332</v>
      </c>
      <c r="G102" s="111">
        <f>[33]Amortizaciones!D19</f>
        <v>51698683.359999992</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2085023684.8399997</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117674033.16000032</v>
      </c>
    </row>
    <row r="110" spans="2:7" ht="6.75" customHeight="1" thickBot="1">
      <c r="B110" s="5"/>
      <c r="C110" s="227"/>
      <c r="D110" s="227"/>
      <c r="E110" s="138"/>
      <c r="F110" s="116"/>
      <c r="G110" s="116"/>
    </row>
    <row r="111" spans="2:7" ht="15" customHeight="1" thickBot="1">
      <c r="C111" s="72" t="s">
        <v>269</v>
      </c>
      <c r="D111" s="118">
        <f>+[33]E.S.P.!D6</f>
        <v>2021</v>
      </c>
      <c r="E111" s="225"/>
      <c r="F111" s="72" t="s">
        <v>340</v>
      </c>
      <c r="G111" s="118">
        <f>+[33]E.S.P.!D6</f>
        <v>2021</v>
      </c>
    </row>
    <row r="112" spans="2:7" ht="13.7" customHeight="1">
      <c r="B112" s="5" t="s">
        <v>341</v>
      </c>
      <c r="C112" s="119" t="s">
        <v>342</v>
      </c>
      <c r="D112" s="120">
        <v>5508611.9799999967</v>
      </c>
      <c r="E112" s="138" t="s">
        <v>343</v>
      </c>
      <c r="F112" s="119" t="s">
        <v>308</v>
      </c>
      <c r="G112" s="120"/>
    </row>
    <row r="113" spans="2:7" ht="13.7" customHeight="1">
      <c r="B113" s="5" t="s">
        <v>344</v>
      </c>
      <c r="C113" s="121" t="s">
        <v>345</v>
      </c>
      <c r="D113" s="122">
        <v>32874525.330000021</v>
      </c>
      <c r="E113" s="138" t="s">
        <v>346</v>
      </c>
      <c r="F113" s="121" t="s">
        <v>347</v>
      </c>
      <c r="G113" s="122"/>
    </row>
    <row r="114" spans="2:7" ht="13.7" customHeight="1">
      <c r="B114" s="5" t="s">
        <v>348</v>
      </c>
      <c r="C114" s="121" t="s">
        <v>48</v>
      </c>
      <c r="D114" s="122">
        <v>764604.03999999969</v>
      </c>
      <c r="E114" s="138" t="s">
        <v>349</v>
      </c>
      <c r="F114" s="121" t="s">
        <v>350</v>
      </c>
      <c r="G114" s="122"/>
    </row>
    <row r="115" spans="2:7" ht="13.7" customHeight="1">
      <c r="B115" s="5" t="s">
        <v>351</v>
      </c>
      <c r="C115" s="121" t="s">
        <v>352</v>
      </c>
      <c r="D115" s="122">
        <v>238075.35000000009</v>
      </c>
      <c r="E115" s="138" t="s">
        <v>353</v>
      </c>
      <c r="F115" s="121" t="s">
        <v>354</v>
      </c>
      <c r="G115" s="122"/>
    </row>
    <row r="116" spans="2:7" ht="13.7" customHeight="1">
      <c r="B116" s="5" t="s">
        <v>355</v>
      </c>
      <c r="C116" s="121" t="s">
        <v>356</v>
      </c>
      <c r="D116" s="122">
        <v>1403274.35</v>
      </c>
      <c r="E116" s="138" t="s">
        <v>357</v>
      </c>
      <c r="F116" s="121" t="s">
        <v>358</v>
      </c>
      <c r="G116" s="122">
        <v>721405.74</v>
      </c>
    </row>
    <row r="117" spans="2:7" ht="13.7" customHeight="1">
      <c r="B117" s="5" t="s">
        <v>359</v>
      </c>
      <c r="C117" s="121" t="s">
        <v>360</v>
      </c>
      <c r="D117" s="122">
        <v>32806.639999999992</v>
      </c>
      <c r="E117" s="138" t="s">
        <v>361</v>
      </c>
      <c r="F117" s="121" t="s">
        <v>362</v>
      </c>
      <c r="G117" s="122">
        <v>715091.03</v>
      </c>
    </row>
    <row r="118" spans="2:7" ht="13.7" customHeight="1">
      <c r="B118" s="5" t="s">
        <v>363</v>
      </c>
      <c r="C118" s="121" t="s">
        <v>364</v>
      </c>
      <c r="D118" s="122"/>
      <c r="E118" s="138" t="s">
        <v>365</v>
      </c>
      <c r="F118" s="121" t="s">
        <v>366</v>
      </c>
      <c r="G118" s="122"/>
    </row>
    <row r="119" spans="2:7" ht="13.7" customHeight="1">
      <c r="B119" s="5" t="s">
        <v>367</v>
      </c>
      <c r="C119" s="121" t="s">
        <v>368</v>
      </c>
      <c r="D119" s="122">
        <v>247463.15999999997</v>
      </c>
      <c r="E119" s="138" t="s">
        <v>369</v>
      </c>
      <c r="F119" s="121" t="s">
        <v>370</v>
      </c>
      <c r="G119" s="122">
        <v>3234277</v>
      </c>
    </row>
    <row r="120" spans="2:7" ht="13.7" customHeight="1">
      <c r="B120" s="5" t="s">
        <v>371</v>
      </c>
      <c r="C120" s="121" t="s">
        <v>372</v>
      </c>
      <c r="D120" s="122"/>
      <c r="E120" s="138" t="s">
        <v>373</v>
      </c>
      <c r="F120" s="121" t="s">
        <v>374</v>
      </c>
      <c r="G120" s="122"/>
    </row>
    <row r="121" spans="2:7" ht="13.7" customHeight="1">
      <c r="B121" s="5" t="s">
        <v>375</v>
      </c>
      <c r="C121" s="78" t="s">
        <v>376</v>
      </c>
      <c r="D121" s="122">
        <v>1478519</v>
      </c>
      <c r="E121" s="138" t="s">
        <v>377</v>
      </c>
      <c r="F121" s="121" t="s">
        <v>378</v>
      </c>
      <c r="G121" s="122">
        <v>1981971.71000001</v>
      </c>
    </row>
    <row r="122" spans="2:7" ht="13.7" customHeight="1" thickBot="1">
      <c r="B122" s="5"/>
      <c r="C122" s="85" t="s">
        <v>379</v>
      </c>
      <c r="D122" s="94">
        <f>SUM(D112:D121)</f>
        <v>42547879.850000016</v>
      </c>
      <c r="E122" s="138" t="s">
        <v>380</v>
      </c>
      <c r="F122" s="78" t="s">
        <v>381</v>
      </c>
      <c r="G122" s="79">
        <v>216806</v>
      </c>
    </row>
    <row r="123" spans="2:7" ht="13.7" customHeight="1" thickBot="1">
      <c r="B123" s="5" t="s">
        <v>382</v>
      </c>
      <c r="C123" s="123" t="s">
        <v>308</v>
      </c>
      <c r="D123" s="120">
        <v>0</v>
      </c>
      <c r="E123" s="225"/>
      <c r="F123" s="85" t="s">
        <v>383</v>
      </c>
      <c r="G123" s="94">
        <f>SUM(G112:G122)</f>
        <v>6869551.4800000098</v>
      </c>
    </row>
    <row r="124" spans="2:7" ht="13.7" customHeight="1">
      <c r="B124" s="5" t="s">
        <v>384</v>
      </c>
      <c r="C124" s="121" t="s">
        <v>312</v>
      </c>
      <c r="D124" s="122">
        <v>13354.849999999999</v>
      </c>
      <c r="E124" s="138" t="s">
        <v>385</v>
      </c>
      <c r="F124" s="121" t="s">
        <v>386</v>
      </c>
      <c r="G124" s="122"/>
    </row>
    <row r="125" spans="2:7" ht="13.7" customHeight="1">
      <c r="B125" s="5" t="s">
        <v>387</v>
      </c>
      <c r="C125" s="78" t="s">
        <v>388</v>
      </c>
      <c r="D125" s="122">
        <v>447</v>
      </c>
      <c r="E125" s="138" t="s">
        <v>389</v>
      </c>
      <c r="F125" s="121" t="s">
        <v>390</v>
      </c>
      <c r="G125" s="122">
        <v>300417.78000000003</v>
      </c>
    </row>
    <row r="126" spans="2:7" ht="13.7" customHeight="1" thickBot="1">
      <c r="B126" s="5"/>
      <c r="C126" s="85" t="s">
        <v>391</v>
      </c>
      <c r="D126" s="94">
        <f>SUM(D123:D125)</f>
        <v>13801.849999999999</v>
      </c>
      <c r="E126" s="138" t="s">
        <v>392</v>
      </c>
      <c r="F126" s="121" t="s">
        <v>393</v>
      </c>
      <c r="G126" s="122"/>
    </row>
    <row r="127" spans="2:7" ht="13.7" customHeight="1">
      <c r="B127" s="5" t="s">
        <v>394</v>
      </c>
      <c r="C127" s="119" t="s">
        <v>273</v>
      </c>
      <c r="D127" s="120">
        <v>4920796.669999999</v>
      </c>
      <c r="E127" s="138" t="s">
        <v>395</v>
      </c>
      <c r="F127" s="121" t="s">
        <v>396</v>
      </c>
      <c r="G127" s="122"/>
    </row>
    <row r="128" spans="2:7" ht="13.7" customHeight="1">
      <c r="B128" s="5" t="s">
        <v>397</v>
      </c>
      <c r="C128" s="121" t="s">
        <v>398</v>
      </c>
      <c r="D128" s="122">
        <v>3322053.02</v>
      </c>
      <c r="E128" s="138" t="s">
        <v>399</v>
      </c>
      <c r="F128" s="121" t="s">
        <v>400</v>
      </c>
      <c r="G128" s="122"/>
    </row>
    <row r="129" spans="2:7" ht="13.7" customHeight="1">
      <c r="B129" s="5" t="s">
        <v>401</v>
      </c>
      <c r="C129" s="121" t="s">
        <v>276</v>
      </c>
      <c r="D129" s="122">
        <v>0</v>
      </c>
      <c r="E129" s="138" t="s">
        <v>402</v>
      </c>
      <c r="F129" s="121" t="s">
        <v>403</v>
      </c>
      <c r="G129" s="122">
        <v>2917889.1200000043</v>
      </c>
    </row>
    <row r="130" spans="2:7" ht="13.7" customHeight="1">
      <c r="B130" s="5" t="s">
        <v>404</v>
      </c>
      <c r="C130" s="121" t="s">
        <v>282</v>
      </c>
      <c r="D130" s="122">
        <v>56508.960000000014</v>
      </c>
      <c r="E130" s="138" t="s">
        <v>405</v>
      </c>
      <c r="F130" s="121" t="s">
        <v>406</v>
      </c>
      <c r="G130" s="122"/>
    </row>
    <row r="131" spans="2:7" ht="13.7" customHeight="1">
      <c r="B131" s="5" t="s">
        <v>407</v>
      </c>
      <c r="C131" s="121" t="s">
        <v>286</v>
      </c>
      <c r="D131" s="122">
        <v>139201.92000000001</v>
      </c>
      <c r="E131" s="138" t="s">
        <v>408</v>
      </c>
      <c r="F131" s="121" t="s">
        <v>409</v>
      </c>
      <c r="G131" s="122">
        <v>642724.80000000005</v>
      </c>
    </row>
    <row r="132" spans="2:7" ht="13.7" customHeight="1">
      <c r="B132" s="5" t="s">
        <v>410</v>
      </c>
      <c r="C132" s="121" t="s">
        <v>290</v>
      </c>
      <c r="D132" s="122">
        <v>876653.8600000001</v>
      </c>
      <c r="E132" s="138" t="s">
        <v>411</v>
      </c>
      <c r="F132" s="121" t="s">
        <v>412</v>
      </c>
      <c r="G132" s="122">
        <v>1966836.9999999986</v>
      </c>
    </row>
    <row r="133" spans="2:7" ht="13.7" customHeight="1">
      <c r="B133" s="5" t="s">
        <v>413</v>
      </c>
      <c r="C133" s="121" t="s">
        <v>294</v>
      </c>
      <c r="D133" s="122"/>
      <c r="E133" s="138" t="s">
        <v>414</v>
      </c>
      <c r="F133" s="121" t="s">
        <v>415</v>
      </c>
      <c r="G133" s="122"/>
    </row>
    <row r="134" spans="2:7" ht="13.7" customHeight="1">
      <c r="B134" s="5" t="s">
        <v>416</v>
      </c>
      <c r="C134" s="121" t="s">
        <v>417</v>
      </c>
      <c r="D134" s="122">
        <v>2885130.7200000007</v>
      </c>
      <c r="E134" s="138" t="s">
        <v>418</v>
      </c>
      <c r="F134" s="121" t="s">
        <v>419</v>
      </c>
      <c r="G134" s="122">
        <v>578630.07999999973</v>
      </c>
    </row>
    <row r="135" spans="2:7" ht="13.7" customHeight="1">
      <c r="B135" s="5" t="s">
        <v>420</v>
      </c>
      <c r="C135" s="121" t="s">
        <v>421</v>
      </c>
      <c r="D135" s="122">
        <v>7905402.5799999991</v>
      </c>
      <c r="E135" s="138" t="s">
        <v>422</v>
      </c>
      <c r="F135" s="121" t="s">
        <v>423</v>
      </c>
      <c r="G135" s="122"/>
    </row>
    <row r="136" spans="2:7" ht="13.7" customHeight="1">
      <c r="B136" s="5" t="s">
        <v>424</v>
      </c>
      <c r="C136" s="121" t="s">
        <v>317</v>
      </c>
      <c r="D136" s="122">
        <v>8750308.709999999</v>
      </c>
      <c r="E136" s="138" t="s">
        <v>425</v>
      </c>
      <c r="F136" s="121" t="s">
        <v>426</v>
      </c>
      <c r="G136" s="122">
        <v>465025</v>
      </c>
    </row>
    <row r="137" spans="2:7" ht="13.7" customHeight="1">
      <c r="B137" s="5" t="s">
        <v>427</v>
      </c>
      <c r="C137" s="78" t="s">
        <v>319</v>
      </c>
      <c r="D137" s="124">
        <v>973648</v>
      </c>
      <c r="E137" s="138" t="s">
        <v>428</v>
      </c>
      <c r="F137" s="121" t="s">
        <v>429</v>
      </c>
      <c r="G137" s="122">
        <v>34428000</v>
      </c>
    </row>
    <row r="138" spans="2:7" ht="13.7" customHeight="1" thickBot="1">
      <c r="B138" s="5"/>
      <c r="C138" s="85" t="s">
        <v>320</v>
      </c>
      <c r="D138" s="94">
        <f>SUM(D127:D137)</f>
        <v>29829704.439999998</v>
      </c>
      <c r="E138" s="138" t="s">
        <v>430</v>
      </c>
      <c r="F138" s="78" t="s">
        <v>431</v>
      </c>
      <c r="G138" s="79">
        <v>1050183</v>
      </c>
    </row>
    <row r="139" spans="2:7" ht="13.7" customHeight="1" thickBot="1">
      <c r="B139" s="5" t="s">
        <v>432</v>
      </c>
      <c r="C139" s="119" t="s">
        <v>326</v>
      </c>
      <c r="D139" s="120">
        <v>0</v>
      </c>
      <c r="E139" s="228"/>
      <c r="F139" s="85" t="s">
        <v>433</v>
      </c>
      <c r="G139" s="94">
        <f>SUM(G124:G138)</f>
        <v>42349706.780000001</v>
      </c>
    </row>
    <row r="140" spans="2:7" ht="13.7" customHeight="1" thickBot="1">
      <c r="B140" s="5" t="s">
        <v>434</v>
      </c>
      <c r="C140" s="121" t="s">
        <v>328</v>
      </c>
      <c r="D140" s="122">
        <v>651448</v>
      </c>
      <c r="E140" s="228"/>
      <c r="F140" s="110" t="s">
        <v>435</v>
      </c>
      <c r="G140" s="126">
        <f>G123-G139</f>
        <v>-35480155.29999999</v>
      </c>
    </row>
    <row r="141" spans="2:7" ht="13.7" customHeight="1">
      <c r="B141" s="5" t="s">
        <v>436</v>
      </c>
      <c r="C141" s="78" t="s">
        <v>330</v>
      </c>
      <c r="D141" s="124">
        <v>20207</v>
      </c>
      <c r="E141" s="229"/>
      <c r="F141" s="116"/>
      <c r="G141" s="116"/>
    </row>
    <row r="142" spans="2:7" ht="13.7" customHeight="1" thickBot="1">
      <c r="B142" s="5"/>
      <c r="C142" s="85" t="s">
        <v>331</v>
      </c>
      <c r="D142" s="94">
        <f>SUM(D139:D141)</f>
        <v>671655</v>
      </c>
      <c r="E142" s="229"/>
      <c r="F142" s="116"/>
      <c r="G142" s="116"/>
    </row>
    <row r="143" spans="2:7" ht="13.5" customHeight="1" thickBot="1">
      <c r="B143" s="5"/>
      <c r="C143" s="110" t="s">
        <v>332</v>
      </c>
      <c r="D143" s="126">
        <f>[33]Amortizaciones!D33</f>
        <v>1936616.07</v>
      </c>
      <c r="E143" s="138"/>
      <c r="F143" s="72" t="s">
        <v>437</v>
      </c>
      <c r="G143" s="118">
        <f>+[33]E.S.P.!D6</f>
        <v>2021</v>
      </c>
    </row>
    <row r="144" spans="2:7" ht="13.7" customHeight="1">
      <c r="B144" s="5" t="s">
        <v>438</v>
      </c>
      <c r="C144" s="119" t="s">
        <v>439</v>
      </c>
      <c r="D144" s="120">
        <v>0</v>
      </c>
      <c r="E144" s="138" t="s">
        <v>440</v>
      </c>
      <c r="F144" s="119" t="s">
        <v>441</v>
      </c>
      <c r="G144" s="120">
        <v>3800322.27</v>
      </c>
    </row>
    <row r="145" spans="2:7" ht="13.7" customHeight="1">
      <c r="B145" s="5" t="s">
        <v>442</v>
      </c>
      <c r="C145" s="121" t="s">
        <v>443</v>
      </c>
      <c r="D145" s="122">
        <v>800567</v>
      </c>
      <c r="E145" s="138" t="s">
        <v>444</v>
      </c>
      <c r="F145" s="121" t="s">
        <v>445</v>
      </c>
      <c r="G145" s="122">
        <v>8618822.5099999998</v>
      </c>
    </row>
    <row r="146" spans="2:7" ht="13.7" customHeight="1">
      <c r="B146" s="5" t="s">
        <v>446</v>
      </c>
      <c r="C146" s="128" t="s">
        <v>447</v>
      </c>
      <c r="D146" s="122">
        <v>11796</v>
      </c>
      <c r="E146" s="138" t="s">
        <v>448</v>
      </c>
      <c r="F146" s="121" t="s">
        <v>449</v>
      </c>
      <c r="G146" s="122">
        <v>84325.440000000002</v>
      </c>
    </row>
    <row r="147" spans="2:7" ht="13.7" customHeight="1">
      <c r="B147" s="5" t="s">
        <v>450</v>
      </c>
      <c r="C147" s="78" t="s">
        <v>451</v>
      </c>
      <c r="D147" s="124">
        <v>32174</v>
      </c>
      <c r="E147" s="138" t="s">
        <v>452</v>
      </c>
      <c r="F147" s="121" t="s">
        <v>453</v>
      </c>
      <c r="G147" s="122"/>
    </row>
    <row r="148" spans="2:7" ht="13.7" customHeight="1" thickBot="1">
      <c r="B148" s="5"/>
      <c r="C148" s="85" t="s">
        <v>518</v>
      </c>
      <c r="D148" s="94">
        <f>SUM(D144:D147)</f>
        <v>844537</v>
      </c>
      <c r="E148" s="138" t="s">
        <v>454</v>
      </c>
      <c r="F148" s="121" t="s">
        <v>455</v>
      </c>
      <c r="G148" s="122"/>
    </row>
    <row r="149" spans="2:7" ht="13.7" customHeight="1">
      <c r="B149" s="5" t="s">
        <v>456</v>
      </c>
      <c r="C149" s="119" t="s">
        <v>457</v>
      </c>
      <c r="D149" s="120">
        <v>0</v>
      </c>
      <c r="E149" s="138" t="s">
        <v>458</v>
      </c>
      <c r="F149" s="121" t="s">
        <v>459</v>
      </c>
      <c r="G149" s="122"/>
    </row>
    <row r="150" spans="2:7" ht="13.7" customHeight="1">
      <c r="B150" s="5" t="s">
        <v>460</v>
      </c>
      <c r="C150" s="121" t="s">
        <v>461</v>
      </c>
      <c r="D150" s="122">
        <v>0</v>
      </c>
      <c r="E150" s="138" t="s">
        <v>462</v>
      </c>
      <c r="F150" s="121" t="s">
        <v>463</v>
      </c>
      <c r="G150" s="122"/>
    </row>
    <row r="151" spans="2:7" ht="13.7" customHeight="1">
      <c r="B151" s="5" t="s">
        <v>464</v>
      </c>
      <c r="C151" s="78" t="s">
        <v>465</v>
      </c>
      <c r="D151" s="124">
        <v>0</v>
      </c>
      <c r="E151" s="138" t="s">
        <v>466</v>
      </c>
      <c r="F151" s="121" t="s">
        <v>467</v>
      </c>
      <c r="G151" s="122"/>
    </row>
    <row r="152" spans="2:7" ht="13.7" customHeight="1" thickBot="1">
      <c r="B152" s="5"/>
      <c r="C152" s="85" t="s">
        <v>516</v>
      </c>
      <c r="D152" s="94">
        <f>SUM(D149:D151)</f>
        <v>0</v>
      </c>
      <c r="E152" s="138" t="s">
        <v>469</v>
      </c>
      <c r="F152" s="121" t="s">
        <v>470</v>
      </c>
      <c r="G152" s="122"/>
    </row>
    <row r="153" spans="2:7" ht="15" customHeight="1" thickBot="1">
      <c r="B153" s="5"/>
      <c r="C153" s="110" t="s">
        <v>471</v>
      </c>
      <c r="D153" s="129">
        <f>D122+D126+D138+D142+D143+D148+D152</f>
        <v>75844194.210000008</v>
      </c>
      <c r="E153" s="138" t="s">
        <v>472</v>
      </c>
      <c r="F153" s="78" t="s">
        <v>473</v>
      </c>
      <c r="G153" s="79">
        <v>183746</v>
      </c>
    </row>
    <row r="154" spans="2:7" ht="13.7" customHeight="1" thickBot="1">
      <c r="B154" s="5"/>
      <c r="C154" s="116"/>
      <c r="D154" s="116"/>
      <c r="E154" s="138"/>
      <c r="F154" s="85" t="s">
        <v>474</v>
      </c>
      <c r="G154" s="94">
        <f>SUM(G144:G153)</f>
        <v>12687216.219999999</v>
      </c>
    </row>
    <row r="155" spans="2:7" ht="13.5" customHeight="1" thickBot="1">
      <c r="B155" s="5"/>
      <c r="C155" s="72" t="s">
        <v>475</v>
      </c>
      <c r="D155" s="103">
        <f>G109-D153</f>
        <v>41829838.950000316</v>
      </c>
      <c r="E155" s="138" t="s">
        <v>476</v>
      </c>
      <c r="F155" s="119" t="s">
        <v>477</v>
      </c>
      <c r="G155" s="120">
        <v>1304939.96</v>
      </c>
    </row>
    <row r="156" spans="2:7" ht="13.7" customHeight="1">
      <c r="C156" s="116"/>
      <c r="D156" s="116"/>
      <c r="E156" s="138" t="s">
        <v>478</v>
      </c>
      <c r="F156" s="121" t="s">
        <v>479</v>
      </c>
      <c r="G156" s="122">
        <v>5574175.5200000005</v>
      </c>
    </row>
    <row r="157" spans="2:7" ht="13.7" customHeight="1">
      <c r="C157" s="116"/>
      <c r="D157" s="116"/>
      <c r="E157" s="138" t="s">
        <v>480</v>
      </c>
      <c r="F157" s="121" t="s">
        <v>481</v>
      </c>
      <c r="G157" s="122"/>
    </row>
    <row r="158" spans="2:7" ht="13.7" customHeight="1">
      <c r="C158" s="116"/>
      <c r="D158" s="116"/>
      <c r="E158" s="138" t="s">
        <v>482</v>
      </c>
      <c r="F158" s="121" t="s">
        <v>483</v>
      </c>
      <c r="G158" s="122"/>
    </row>
    <row r="159" spans="2:7" ht="13.7" customHeight="1">
      <c r="C159" s="116"/>
      <c r="D159" s="116"/>
      <c r="E159" s="138" t="s">
        <v>484</v>
      </c>
      <c r="F159" s="121" t="s">
        <v>485</v>
      </c>
      <c r="G159" s="122"/>
    </row>
    <row r="160" spans="2:7" ht="13.7" customHeight="1">
      <c r="C160" s="116"/>
      <c r="D160" s="116"/>
      <c r="E160" s="138" t="s">
        <v>486</v>
      </c>
      <c r="F160" s="121" t="s">
        <v>487</v>
      </c>
      <c r="G160" s="122"/>
    </row>
    <row r="161" spans="3:7" ht="13.7" customHeight="1">
      <c r="C161" s="116"/>
      <c r="D161" s="116"/>
      <c r="E161" s="138" t="s">
        <v>488</v>
      </c>
      <c r="F161" s="121" t="s">
        <v>489</v>
      </c>
      <c r="G161" s="122"/>
    </row>
    <row r="162" spans="3:7" ht="13.7" customHeight="1">
      <c r="C162" s="116"/>
      <c r="D162" s="116"/>
      <c r="E162" s="138" t="s">
        <v>490</v>
      </c>
      <c r="F162" s="121" t="s">
        <v>491</v>
      </c>
      <c r="G162" s="122"/>
    </row>
    <row r="163" spans="3:7" ht="13.7" customHeight="1">
      <c r="C163" s="116"/>
      <c r="D163" s="116"/>
      <c r="E163" s="138" t="s">
        <v>492</v>
      </c>
      <c r="F163" s="121" t="s">
        <v>493</v>
      </c>
      <c r="G163" s="122"/>
    </row>
    <row r="164" spans="3:7" ht="13.7" customHeight="1">
      <c r="C164" s="116"/>
      <c r="D164" s="116"/>
      <c r="E164" s="138" t="s">
        <v>494</v>
      </c>
      <c r="F164" s="121" t="s">
        <v>495</v>
      </c>
      <c r="G164" s="122"/>
    </row>
    <row r="165" spans="3:7" ht="13.7" customHeight="1">
      <c r="C165" s="116"/>
      <c r="D165" s="116"/>
      <c r="E165" s="138" t="s">
        <v>496</v>
      </c>
      <c r="F165" s="121" t="s">
        <v>497</v>
      </c>
      <c r="G165" s="122">
        <v>6236796</v>
      </c>
    </row>
    <row r="166" spans="3:7" ht="13.7" customHeight="1">
      <c r="C166" s="116"/>
      <c r="D166" s="116"/>
      <c r="E166" s="138" t="s">
        <v>498</v>
      </c>
      <c r="F166" s="121" t="s">
        <v>499</v>
      </c>
      <c r="G166" s="122">
        <v>620076.36</v>
      </c>
    </row>
    <row r="167" spans="3:7" ht="13.7" customHeight="1">
      <c r="C167" s="116"/>
      <c r="D167" s="116"/>
      <c r="E167" s="138" t="s">
        <v>500</v>
      </c>
      <c r="F167" s="78" t="s">
        <v>501</v>
      </c>
      <c r="G167" s="79">
        <v>62790</v>
      </c>
    </row>
    <row r="168" spans="3:7" ht="13.7" customHeight="1" thickBot="1">
      <c r="C168" s="116"/>
      <c r="D168" s="116"/>
      <c r="E168" s="138"/>
      <c r="F168" s="85" t="s">
        <v>502</v>
      </c>
      <c r="G168" s="94">
        <f>SUM(G155:G167)</f>
        <v>13798777.84</v>
      </c>
    </row>
    <row r="169" spans="3:7" ht="13.7" customHeight="1" thickBot="1">
      <c r="C169" s="116"/>
      <c r="D169" s="116"/>
      <c r="E169" s="138"/>
      <c r="F169" s="110" t="s">
        <v>503</v>
      </c>
      <c r="G169" s="126">
        <f>G154-G168</f>
        <v>-1111561.620000001</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5238122.0300003253</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12664509</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12664509</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17902631.030000325</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153" priority="2" stopIfTrue="1" operator="greaterThan">
      <formula>50</formula>
    </cfRule>
    <cfRule type="cellIs" dxfId="152" priority="11" stopIfTrue="1" operator="equal">
      <formula>0</formula>
    </cfRule>
  </conditionalFormatting>
  <conditionalFormatting sqref="D7:D61">
    <cfRule type="cellIs" dxfId="151" priority="9" stopIfTrue="1" operator="between">
      <formula>-0.1</formula>
      <formula>-50</formula>
    </cfRule>
    <cfRule type="cellIs" dxfId="150" priority="10" stopIfTrue="1" operator="between">
      <formula>0.1</formula>
      <formula>50</formula>
    </cfRule>
  </conditionalFormatting>
  <conditionalFormatting sqref="G152:G181 G7:G150">
    <cfRule type="cellIs" dxfId="149" priority="7" stopIfTrue="1" operator="between">
      <formula>-0.1</formula>
      <formula>-50</formula>
    </cfRule>
    <cfRule type="cellIs" dxfId="148" priority="8" stopIfTrue="1" operator="between">
      <formula>0.1</formula>
      <formula>50</formula>
    </cfRule>
  </conditionalFormatting>
  <conditionalFormatting sqref="D111:D155">
    <cfRule type="cellIs" dxfId="147" priority="5" stopIfTrue="1" operator="between">
      <formula>-0.1</formula>
      <formula>-50</formula>
    </cfRule>
    <cfRule type="cellIs" dxfId="146" priority="6" stopIfTrue="1" operator="between">
      <formula>0.1</formula>
      <formula>50</formula>
    </cfRule>
  </conditionalFormatting>
  <conditionalFormatting sqref="G165">
    <cfRule type="expression" dxfId="145" priority="4" stopIfTrue="1">
      <formula>AND($G$165&gt;0,$G$151&gt;0)</formula>
    </cfRule>
  </conditionalFormatting>
  <conditionalFormatting sqref="G151">
    <cfRule type="expression" dxfId="14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G65687 G131223 G196759 G262295 G327831 G393367 G458903 G524439 G589975 G655511 G721047 G786583 G852119 G917655 G983191">
      <formula1>AND(OR(G151=0, G151&gt;50),G165=0)</formula1>
    </dataValidation>
    <dataValidation type="whole" operator="greaterThan" allowBlank="1" showInputMessage="1" showErrorMessage="1" sqref="D8:D12 D65544:D65548 D131080:D131084 D196616:D196620 D262152:D262156 D327688:D327692 D393224:D393228 D458760:D458764 D524296:D524300 D589832:D589836 D655368:D655372 D720904:D720908 D786440:D786444 D851976:D851980 D917512:D917516 D983048:D983052">
      <formula1>50</formula1>
    </dataValidation>
    <dataValidation type="whole" operator="greaterThan" showInputMessage="1" showErrorMessage="1" errorTitle="eee" error="Valores mayores a $50" sqref="D7 D65543 D131079 D196615 D262151 D327687 D393223 D458759 D524295 D589831 D655367 D720903 D786439 D851975 D917511 D983047">
      <formula1>50</formula1>
    </dataValidation>
    <dataValidation type="custom" operator="greaterThan" showInputMessage="1" showErrorMessage="1" errorTitle="rdm2" error="No se admite ingresar a la vez RDM como ingresos y como egresos. Tampoco se admiten valores negattivos o positivos menores de 50" sqref="G983205 G917669 G852133 G786597 G721061 G655525 G589989 G524453 G458917 G393381 G327845 G262309 G196773 G131237 G65701 G165">
      <formula1>AND(OR(G165=0, G165&gt;50),G151=0)</formula1>
    </dataValidation>
    <dataValidation type="custom" operator="greaterThan" showInputMessage="1" showErrorMessage="1" errorTitle="eee" sqref="D56 D65592 D131128 D196664 D262200 D327736 D393272 D458808 D524344 D589880 D655416 D720952 D786488 D852024 D917560 D983096">
      <formula1>OR(D56=0, D56&lt;50)</formula1>
    </dataValidation>
    <dataValidation type="custom" operator="greaterThan" showInputMessage="1" showErrorMessage="1" errorTitle="eee" sqref="D57:D61 D65593:D65597 D131129:D131133 D196665:D196669 D262201:D262205 D327737:D327741 D393273:D393277 D458809:D458813 D524345:D524349 D589881:D589885 D655417:D655421 D720953:D720957 D786489:D786493 D852025:D852029 D917561:D917565 D983097:D983101">
      <formula1>OR(D57=0, D57&lt;0)</formula1>
    </dataValidation>
    <dataValidation type="custom" operator="greaterThan" showInputMessage="1" showErrorMessage="1" errorTitle="eee" sqref="G7:G140 G65543:G65676 G131079:G131212 G196615:G196748 G262151:G262284 G327687:G327820 G393223:G393356 G458759:G458892 G524295:G524428 G589831:G589964 G655367:G655500 G720903:G721036 G786439:G786572 G851975:G852108 G917511:G917644 G983047:G983180 D62:D155 D65598:D65691 D131134:D131227 D196670:D196763 D262206:D262299 D327742:D327835 D393278:D393371 D458814:D458907 D524350:D524443 D589886:D589979 D655422:D655515 D720958:D721051 D786494:D786587 D852030:D852123 D917566:D917659 D983102:D983195 G152:G164 G65688:G65700 G131224:G131236 G196760:G196772 G262296:G262308 G327832:G327844 G393368:G393380 G458904:G458916 G524440:G524452 G589976:G589988 G655512:G655524 G721048:G721060 G786584:G786596 G852120:G852132 G917656:G917668 G983192:G983204 G166:G181 G65702:G65717 G131238:G131253 G196774:G196789 G262310:G262325 G327846:G327861 G393382:G393397 G458918:G458933 G524454:G524469 G589990:G590005 G655526:G655541 G721062:G721077 G786598:G786613 G852134:G852149 G917670:G917685 G983206:G983221 G144:G150 G65680:G65686 G131216:G131222 G196752:G196758 G262288:G262294 G327824:G327830 G393360:G393366 G458896:G458902 G524432:G524438 G589968:G589974 G655504:G655510 G721040:G721046 G786576:G786582 G852112:G852118 G917648:G917654 G983184:G983190 D13:D55 D65549:D65591 D131085:D131127 D196621:D196663 D262157:D262199 D327693:D327735 D393229:D393271 D458765:D458807 D524301:D524343 D589837:D589879 D655373:D655415 D720909:D720951 D786445:D786487 D851981:D852023 D917517:D917559 D983053:D983095">
      <formula1>OR(D7=0, D7&gt;50)</formula1>
    </dataValidation>
    <dataValidation type="whole" allowBlank="1" showErrorMessage="1" errorTitle="Error de datos" error="Debe ingresar un valor entre 1 y 12" sqref="G1:G3 G65537:G65539 G131073:G131075 G196609:G196611 G262145:G262147 G327681:G327683 G393217:G393219 G458753:G458755 G524289:G524291 G589825:G589827 G655361:G655363 G720897:G720899 G786433:G786435 G851969:G851971 G917505:G917507 G983041:G983043">
      <formula1>1</formula1>
      <formula2>12</formula2>
    </dataValidation>
    <dataValidation allowBlank="1" errorTitle="Error de datos" error="Debe introducir una fecha válida" sqref="E3 E65539 E131075 E196611 E262147 E327683 E393219 E458755 E524291 E589827 E655363 E720899 E786435 E851971 E917507 E983043"/>
    <dataValidation allowBlank="1" sqref="G204 G65740 G131276 G196812 G262348 G327884 G393420 G458956 G524492 G590028 G655564 G721100 G786636 G852172 G917708 G983244"/>
    <dataValidation operator="greaterThanOrEqual" allowBlank="1" errorTitle="Error de datos" error="Debe ingresar un valor entero positivo" sqref="F983149 F65542:F65643 F131078:F131179 F196614:F196715 F262150:F262251 F327686:F327787 F393222:F393323 F458758:F458859 F524294:F524395 F589830:F589931 F655366:F655467 F720902:F721003 F786438:F786539 F851974:F852075 F917510:F917611 F983046:F983147 F203 F65739 F131275 F196811 F262347 F327883 F393419 F458955 F524491 F590027 F655563 F721099 F786635 F852171 F917707 F983243 C13:C47 C65549:C65583 C131085:C131119 C196621:C196655 C262157:C262191 C327693:C327727 C393229:C393263 C458765:C458799 C524301:C524335 C589837:C589871 C655373:C655407 C720909:C720943 C786445:C786479 C851981:C852015 C917517:C917551 C983053:C983087 C106:C153 C65642:C65689 C131178:C131225 C196714:C196761 C262250:C262297 C327786:C327833 C393322:C393369 C458858:C458905 C524394:C524441 C589930:C589977 C655466:C655513 C721002:C721049 C786538:C786585 C852074:C852121 C917610:C917657 C983146:C983193 F171 F65707 F131243 F196779 F262315 F327851 F393387 F458923 F524459 F589995 F655531 F721067 F786603 F852139 F917675 F983211 F174:F178 F65710:F65714 F131246:F131250 F196782:F196786 F262318:F262322 F327854:F327858 F393390:F393394 F458926:F458930 F524462:F524466 F589998:F590002 F655534:F655538 F721070:F721074 F786606:F786610 F852142:F852146 F917678:F917682 F983214:F983218 F180 F65716 F131252 F196788 F262324 F327860 F393396 F458932 F524468 F590004 F655540 F721076 F786612 F852148 F917684 F983220 F111:F119 F65647:F65655 F131183:F131191 F196719:F196727 F262255:F262263 F327791:F327799 F393327:F393335 F458863:F458871 F524399:F524407 F589935:F589943 F655471:F655479 F721007:F721015 F786543:F786551 F852079:F852087 F917615:F917623 F983151:F983159 C7:C10 C65543:C65546 C131079:C131082 C196615:C196618 C262151:C262154 C327687:C327690 C393223:C393226 C458759:C458762 C524295:C524298 C589831:C589834 C655367:C655370 C720903:C720906 C786439:C786442 C851975:C851978 C917511:C917514 C983047:C983050 F121:F140 F65657:F65676 F131193:F131212 F196729:F196748 F262265:F262284 F327801:F327820 F393337:F393356 F458873:F458892 F524409:F524428 F589945:F589964 F655481:F655500 F721017:F721036 F786553:F786572 F852089:F852108 F917625:F917644 F983161:F983180 F143:F169 F65679:F65705 F131215:F131241 F196751:F196777 F262287:F262313 F327823:F327849 F393359:F393385 F458895:F458921 F524431:F524457 F589967:F589993 F655503:F655529 F721039:F721065 F786575:F786601 F852111:F852137 F917647:F917673 F983183:F983209 C49:C62 C65585:C65598 C131121:C131134 C196657:C196670 C262193:C262206 C327729:C327742 C393265:C393278 C458801:C458814 C524337:C524350 C589873:C589886 C655409:C655422 C720945:C720958 C786481:C786494 C852017:C852030 C917553:C917566 C983089:C983102 C155 C65691 C131227 C196763 C262299 C327835 C393371 C458907 C524443 C589979 C655515 C721051 C786587 C852123 C917659 C983195 F109 F65645 F131181 F196717 F262253 F327789 F393325 F458861 F524397 F589933 F655469 F721005 F786541 F852077 F917613 F6:F107"/>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C172" sqref="C172"/>
    </sheetView>
  </sheetViews>
  <sheetFormatPr baseColWidth="10" defaultColWidth="0" defaultRowHeight="15.75" zeroHeight="1"/>
  <cols>
    <col min="1" max="1" width="3" style="1" customWidth="1"/>
    <col min="2" max="2" width="14.28515625" style="6" hidden="1" customWidth="1"/>
    <col min="3" max="3" width="56.28515625" style="19" customWidth="1"/>
    <col min="4" max="4" width="21" style="19" customWidth="1"/>
    <col min="5" max="5" width="3.85546875" style="13" customWidth="1"/>
    <col min="6" max="6" width="57.28515625" style="19" customWidth="1"/>
    <col min="7" max="7" width="21" style="19" customWidth="1"/>
    <col min="8" max="8" width="3.140625" style="4" customWidth="1"/>
    <col min="9" max="16384" width="0" style="4" hidden="1"/>
  </cols>
  <sheetData>
    <row r="1" spans="1:9">
      <c r="B1" s="2"/>
      <c r="C1" s="255" t="s">
        <v>0</v>
      </c>
      <c r="D1" s="258"/>
      <c r="E1" s="253" t="str">
        <f>[34]Presentacion!C3</f>
        <v>CAMS - IAMPP</v>
      </c>
      <c r="F1" s="253"/>
      <c r="G1" s="136"/>
      <c r="H1" s="3"/>
    </row>
    <row r="2" spans="1:9">
      <c r="B2" s="5"/>
      <c r="C2" s="255" t="s">
        <v>1</v>
      </c>
      <c r="D2" s="258"/>
      <c r="E2" s="253" t="str">
        <f>[34]Presentacion!C4</f>
        <v>Soriano</v>
      </c>
      <c r="F2" s="253"/>
      <c r="G2" s="136"/>
      <c r="H2" s="3"/>
    </row>
    <row r="3" spans="1:9">
      <c r="B3" s="5"/>
      <c r="C3" s="263" t="s">
        <v>2</v>
      </c>
      <c r="D3" s="263"/>
      <c r="E3" s="254" t="s">
        <v>3</v>
      </c>
      <c r="F3" s="254"/>
      <c r="G3" s="136"/>
      <c r="H3" s="3"/>
    </row>
    <row r="4" spans="1:9" ht="12" customHeight="1" thickBot="1">
      <c r="C4" s="65"/>
      <c r="D4" s="7"/>
      <c r="E4" s="8"/>
      <c r="F4" s="9"/>
      <c r="G4" s="10"/>
    </row>
    <row r="5" spans="1:9" ht="16.5" customHeight="1" thickBot="1">
      <c r="B5" s="11"/>
      <c r="C5" s="72" t="s">
        <v>4</v>
      </c>
      <c r="D5" s="73" t="s">
        <v>5</v>
      </c>
      <c r="E5" s="137"/>
      <c r="F5" s="72" t="s">
        <v>6</v>
      </c>
      <c r="G5" s="73" t="s">
        <v>5</v>
      </c>
      <c r="I5" s="12"/>
    </row>
    <row r="6" spans="1:9" ht="12.75" customHeight="1" thickBot="1">
      <c r="B6" s="11"/>
      <c r="C6" s="75" t="s">
        <v>7</v>
      </c>
      <c r="D6" s="76">
        <f>+[34]E.S.P.!D6</f>
        <v>2021</v>
      </c>
      <c r="E6" s="138"/>
      <c r="F6" s="75" t="s">
        <v>8</v>
      </c>
      <c r="G6" s="76">
        <f>+D6</f>
        <v>2021</v>
      </c>
      <c r="H6" s="12"/>
    </row>
    <row r="7" spans="1:9">
      <c r="B7" s="5" t="s">
        <v>9</v>
      </c>
      <c r="C7" s="78" t="s">
        <v>10</v>
      </c>
      <c r="D7" s="79">
        <v>23812715</v>
      </c>
      <c r="E7" s="138" t="s">
        <v>11</v>
      </c>
      <c r="F7" s="80" t="s">
        <v>12</v>
      </c>
      <c r="G7" s="81">
        <v>7301041</v>
      </c>
    </row>
    <row r="8" spans="1:9">
      <c r="B8" s="5" t="s">
        <v>13</v>
      </c>
      <c r="C8" s="78" t="s">
        <v>14</v>
      </c>
      <c r="D8" s="79">
        <v>44808630</v>
      </c>
      <c r="E8" s="138" t="s">
        <v>15</v>
      </c>
      <c r="F8" s="78" t="s">
        <v>16</v>
      </c>
      <c r="G8" s="82">
        <v>117650038</v>
      </c>
    </row>
    <row r="9" spans="1:9">
      <c r="B9" s="5" t="s">
        <v>17</v>
      </c>
      <c r="C9" s="78" t="s">
        <v>18</v>
      </c>
      <c r="D9" s="79">
        <v>1295240995</v>
      </c>
      <c r="E9" s="138" t="s">
        <v>19</v>
      </c>
      <c r="F9" s="78" t="s">
        <v>20</v>
      </c>
      <c r="G9" s="79">
        <v>0</v>
      </c>
    </row>
    <row r="10" spans="1:9">
      <c r="B10" s="5" t="s">
        <v>21</v>
      </c>
      <c r="C10" s="78" t="s">
        <v>22</v>
      </c>
      <c r="D10" s="79">
        <v>137418278</v>
      </c>
      <c r="E10" s="138" t="s">
        <v>23</v>
      </c>
      <c r="F10" s="78" t="s">
        <v>24</v>
      </c>
      <c r="G10" s="79">
        <v>327462203</v>
      </c>
    </row>
    <row r="11" spans="1:9">
      <c r="B11" s="5" t="s">
        <v>25</v>
      </c>
      <c r="C11" s="78" t="s">
        <v>26</v>
      </c>
      <c r="D11" s="79">
        <v>28654163</v>
      </c>
      <c r="E11" s="138" t="s">
        <v>27</v>
      </c>
      <c r="F11" s="78" t="s">
        <v>28</v>
      </c>
      <c r="G11" s="79">
        <v>0</v>
      </c>
    </row>
    <row r="12" spans="1:9">
      <c r="B12" s="5" t="s">
        <v>29</v>
      </c>
      <c r="C12" s="78" t="s">
        <v>30</v>
      </c>
      <c r="D12" s="79">
        <v>19151534</v>
      </c>
      <c r="E12" s="138" t="s">
        <v>31</v>
      </c>
      <c r="F12" s="78" t="s">
        <v>32</v>
      </c>
      <c r="G12" s="79">
        <v>183831573</v>
      </c>
    </row>
    <row r="13" spans="1:9">
      <c r="B13" s="5" t="s">
        <v>33</v>
      </c>
      <c r="C13" s="78" t="s">
        <v>34</v>
      </c>
      <c r="D13" s="79">
        <v>0</v>
      </c>
      <c r="E13" s="138" t="s">
        <v>35</v>
      </c>
      <c r="F13" s="78" t="s">
        <v>36</v>
      </c>
      <c r="G13" s="79">
        <v>0</v>
      </c>
    </row>
    <row r="14" spans="1:9">
      <c r="A14" s="14"/>
      <c r="B14" s="5" t="s">
        <v>37</v>
      </c>
      <c r="C14" s="78" t="s">
        <v>38</v>
      </c>
      <c r="D14" s="79">
        <v>40592263</v>
      </c>
      <c r="E14" s="138" t="s">
        <v>39</v>
      </c>
      <c r="F14" s="78" t="s">
        <v>40</v>
      </c>
      <c r="G14" s="79">
        <v>204799344</v>
      </c>
    </row>
    <row r="15" spans="1:9">
      <c r="B15" s="5" t="s">
        <v>41</v>
      </c>
      <c r="C15" s="83" t="s">
        <v>42</v>
      </c>
      <c r="D15" s="79">
        <v>0</v>
      </c>
      <c r="E15" s="138" t="s">
        <v>43</v>
      </c>
      <c r="F15" s="78" t="s">
        <v>44</v>
      </c>
      <c r="G15" s="79">
        <v>120404450</v>
      </c>
    </row>
    <row r="16" spans="1:9">
      <c r="B16" s="5" t="s">
        <v>45</v>
      </c>
      <c r="C16" s="78" t="s">
        <v>46</v>
      </c>
      <c r="D16" s="79">
        <v>0</v>
      </c>
      <c r="E16" s="138" t="s">
        <v>47</v>
      </c>
      <c r="F16" s="78" t="s">
        <v>48</v>
      </c>
      <c r="G16" s="79">
        <v>118898699</v>
      </c>
    </row>
    <row r="17" spans="1:7">
      <c r="B17" s="5" t="s">
        <v>49</v>
      </c>
      <c r="C17" s="78" t="s">
        <v>50</v>
      </c>
      <c r="D17" s="79">
        <v>0</v>
      </c>
      <c r="E17" s="138" t="s">
        <v>51</v>
      </c>
      <c r="F17" s="78" t="s">
        <v>52</v>
      </c>
      <c r="G17" s="79">
        <v>1740197</v>
      </c>
    </row>
    <row r="18" spans="1:7">
      <c r="A18" s="14"/>
      <c r="B18" s="5" t="s">
        <v>53</v>
      </c>
      <c r="C18" s="78" t="s">
        <v>54</v>
      </c>
      <c r="D18" s="79">
        <v>9558173</v>
      </c>
      <c r="E18" s="138" t="s">
        <v>55</v>
      </c>
      <c r="F18" s="78" t="s">
        <v>56</v>
      </c>
      <c r="G18" s="84">
        <v>42125774</v>
      </c>
    </row>
    <row r="19" spans="1:7" ht="16.5" thickBot="1">
      <c r="A19" s="14"/>
      <c r="B19" s="5" t="s">
        <v>57</v>
      </c>
      <c r="C19" s="78" t="s">
        <v>58</v>
      </c>
      <c r="D19" s="79">
        <f>60747274-568370</f>
        <v>60178904</v>
      </c>
      <c r="E19" s="138"/>
      <c r="F19" s="85" t="s">
        <v>59</v>
      </c>
      <c r="G19" s="86">
        <f>SUM(G7:G18)</f>
        <v>1124213319</v>
      </c>
    </row>
    <row r="20" spans="1:7" ht="16.5" thickBot="1">
      <c r="B20" s="5"/>
      <c r="C20" s="85" t="s">
        <v>60</v>
      </c>
      <c r="D20" s="86">
        <f>SUM(D7:D19)</f>
        <v>1659415655</v>
      </c>
      <c r="E20" s="138" t="s">
        <v>61</v>
      </c>
      <c r="F20" s="80" t="s">
        <v>62</v>
      </c>
      <c r="G20" s="81">
        <v>75604</v>
      </c>
    </row>
    <row r="21" spans="1:7">
      <c r="B21" s="5"/>
      <c r="C21" s="87" t="s">
        <v>63</v>
      </c>
      <c r="D21" s="88">
        <f>SUM(D22:D28)</f>
        <v>14689409</v>
      </c>
      <c r="E21" s="138" t="s">
        <v>64</v>
      </c>
      <c r="F21" s="78" t="s">
        <v>65</v>
      </c>
      <c r="G21" s="79">
        <v>27672435</v>
      </c>
    </row>
    <row r="22" spans="1:7">
      <c r="B22" s="5" t="s">
        <v>66</v>
      </c>
      <c r="C22" s="78" t="s">
        <v>67</v>
      </c>
      <c r="D22" s="79">
        <v>8134375</v>
      </c>
      <c r="E22" s="138" t="s">
        <v>68</v>
      </c>
      <c r="F22" s="78" t="s">
        <v>69</v>
      </c>
      <c r="G22" s="79">
        <v>7037505</v>
      </c>
    </row>
    <row r="23" spans="1:7">
      <c r="B23" s="5" t="s">
        <v>70</v>
      </c>
      <c r="C23" s="78" t="s">
        <v>71</v>
      </c>
      <c r="D23" s="79">
        <v>436402</v>
      </c>
      <c r="E23" s="138" t="s">
        <v>72</v>
      </c>
      <c r="F23" s="78" t="s">
        <v>73</v>
      </c>
      <c r="G23" s="79">
        <v>20882377</v>
      </c>
    </row>
    <row r="24" spans="1:7">
      <c r="B24" s="5" t="s">
        <v>74</v>
      </c>
      <c r="C24" s="78" t="s">
        <v>75</v>
      </c>
      <c r="D24" s="79">
        <v>4167471</v>
      </c>
      <c r="E24" s="138" t="s">
        <v>76</v>
      </c>
      <c r="F24" s="78" t="s">
        <v>77</v>
      </c>
      <c r="G24" s="79">
        <v>0</v>
      </c>
    </row>
    <row r="25" spans="1:7">
      <c r="B25" s="5" t="s">
        <v>78</v>
      </c>
      <c r="C25" s="78" t="s">
        <v>79</v>
      </c>
      <c r="D25" s="79">
        <v>306111</v>
      </c>
      <c r="E25" s="138" t="s">
        <v>80</v>
      </c>
      <c r="F25" s="78" t="s">
        <v>81</v>
      </c>
      <c r="G25" s="79">
        <v>8851548</v>
      </c>
    </row>
    <row r="26" spans="1:7">
      <c r="B26" s="5" t="s">
        <v>82</v>
      </c>
      <c r="C26" s="78" t="s">
        <v>83</v>
      </c>
      <c r="D26" s="79">
        <v>1091469</v>
      </c>
      <c r="E26" s="138" t="s">
        <v>84</v>
      </c>
      <c r="F26" s="78" t="s">
        <v>85</v>
      </c>
      <c r="G26" s="84">
        <v>2484279</v>
      </c>
    </row>
    <row r="27" spans="1:7" ht="13.5" customHeight="1" thickBot="1">
      <c r="B27" s="5" t="s">
        <v>86</v>
      </c>
      <c r="C27" s="78" t="s">
        <v>87</v>
      </c>
      <c r="D27" s="79">
        <v>46049</v>
      </c>
      <c r="E27" s="138"/>
      <c r="F27" s="85" t="s">
        <v>88</v>
      </c>
      <c r="G27" s="86">
        <f>SUM(G20:G26)</f>
        <v>67003748</v>
      </c>
    </row>
    <row r="28" spans="1:7">
      <c r="B28" s="5" t="s">
        <v>89</v>
      </c>
      <c r="C28" s="78" t="s">
        <v>90</v>
      </c>
      <c r="D28" s="79">
        <v>507532</v>
      </c>
      <c r="E28" s="138" t="s">
        <v>91</v>
      </c>
      <c r="F28" s="80" t="s">
        <v>92</v>
      </c>
      <c r="G28" s="81">
        <v>52102736</v>
      </c>
    </row>
    <row r="29" spans="1:7">
      <c r="B29" s="5"/>
      <c r="C29" s="89" t="s">
        <v>93</v>
      </c>
      <c r="D29" s="88">
        <f>SUM(D30:D34)</f>
        <v>130095341</v>
      </c>
      <c r="E29" s="138" t="s">
        <v>94</v>
      </c>
      <c r="F29" s="78" t="s">
        <v>95</v>
      </c>
      <c r="G29" s="79">
        <v>31527680</v>
      </c>
    </row>
    <row r="30" spans="1:7">
      <c r="B30" s="5" t="s">
        <v>96</v>
      </c>
      <c r="C30" s="78" t="s">
        <v>97</v>
      </c>
      <c r="D30" s="79">
        <v>110512305</v>
      </c>
      <c r="E30" s="138" t="s">
        <v>98</v>
      </c>
      <c r="F30" s="78" t="s">
        <v>99</v>
      </c>
      <c r="G30" s="79">
        <v>3866310</v>
      </c>
    </row>
    <row r="31" spans="1:7">
      <c r="B31" s="5" t="s">
        <v>100</v>
      </c>
      <c r="C31" s="78" t="s">
        <v>101</v>
      </c>
      <c r="D31" s="79">
        <v>7103137</v>
      </c>
      <c r="E31" s="138" t="s">
        <v>102</v>
      </c>
      <c r="F31" s="78" t="s">
        <v>103</v>
      </c>
      <c r="G31" s="84">
        <v>3221986.08</v>
      </c>
    </row>
    <row r="32" spans="1:7" ht="16.5" thickBot="1">
      <c r="B32" s="5" t="s">
        <v>104</v>
      </c>
      <c r="C32" s="78" t="s">
        <v>105</v>
      </c>
      <c r="D32" s="79">
        <v>6157291</v>
      </c>
      <c r="E32" s="138"/>
      <c r="F32" s="85" t="s">
        <v>106</v>
      </c>
      <c r="G32" s="86">
        <f>SUM(G28:G31)</f>
        <v>90718712.079999998</v>
      </c>
    </row>
    <row r="33" spans="2:7">
      <c r="B33" s="5" t="s">
        <v>107</v>
      </c>
      <c r="C33" s="78" t="s">
        <v>108</v>
      </c>
      <c r="D33" s="79">
        <v>1699026</v>
      </c>
      <c r="E33" s="138"/>
      <c r="F33" s="89" t="s">
        <v>109</v>
      </c>
      <c r="G33" s="88">
        <f>SUM(G34:G39)</f>
        <v>107383102</v>
      </c>
    </row>
    <row r="34" spans="2:7">
      <c r="B34" s="5" t="s">
        <v>110</v>
      </c>
      <c r="C34" s="78" t="s">
        <v>111</v>
      </c>
      <c r="D34" s="79">
        <v>4623582</v>
      </c>
      <c r="E34" s="138" t="s">
        <v>112</v>
      </c>
      <c r="F34" s="78" t="s">
        <v>113</v>
      </c>
      <c r="G34" s="79">
        <v>5875585</v>
      </c>
    </row>
    <row r="35" spans="2:7" ht="16.5" thickBot="1">
      <c r="B35" s="5"/>
      <c r="C35" s="85" t="s">
        <v>114</v>
      </c>
      <c r="D35" s="86">
        <f>+D21+D29</f>
        <v>144784750</v>
      </c>
      <c r="E35" s="138" t="s">
        <v>115</v>
      </c>
      <c r="F35" s="78" t="s">
        <v>116</v>
      </c>
      <c r="G35" s="79">
        <v>3115586</v>
      </c>
    </row>
    <row r="36" spans="2:7">
      <c r="B36" s="5" t="s">
        <v>117</v>
      </c>
      <c r="C36" s="78" t="s">
        <v>118</v>
      </c>
      <c r="D36" s="79">
        <v>3437869</v>
      </c>
      <c r="E36" s="138" t="s">
        <v>119</v>
      </c>
      <c r="F36" s="78" t="s">
        <v>517</v>
      </c>
      <c r="G36" s="79">
        <v>1727598</v>
      </c>
    </row>
    <row r="37" spans="2:7">
      <c r="B37" s="5" t="s">
        <v>120</v>
      </c>
      <c r="C37" s="78" t="s">
        <v>121</v>
      </c>
      <c r="D37" s="79">
        <v>15780771</v>
      </c>
      <c r="E37" s="138" t="s">
        <v>122</v>
      </c>
      <c r="F37" s="78" t="s">
        <v>123</v>
      </c>
      <c r="G37" s="79">
        <v>4618470</v>
      </c>
    </row>
    <row r="38" spans="2:7">
      <c r="B38" s="5" t="s">
        <v>124</v>
      </c>
      <c r="C38" s="78" t="s">
        <v>125</v>
      </c>
      <c r="D38" s="79">
        <v>0</v>
      </c>
      <c r="E38" s="138" t="s">
        <v>126</v>
      </c>
      <c r="F38" s="78" t="s">
        <v>127</v>
      </c>
      <c r="G38" s="79">
        <v>11856320</v>
      </c>
    </row>
    <row r="39" spans="2:7">
      <c r="B39" s="5" t="s">
        <v>128</v>
      </c>
      <c r="C39" s="78" t="s">
        <v>129</v>
      </c>
      <c r="D39" s="79">
        <v>27321772</v>
      </c>
      <c r="E39" s="138" t="s">
        <v>130</v>
      </c>
      <c r="F39" s="78" t="s">
        <v>131</v>
      </c>
      <c r="G39" s="79">
        <v>80189543</v>
      </c>
    </row>
    <row r="40" spans="2:7">
      <c r="B40" s="5" t="s">
        <v>132</v>
      </c>
      <c r="C40" s="78" t="s">
        <v>133</v>
      </c>
      <c r="D40" s="79">
        <v>5106628</v>
      </c>
      <c r="E40" s="138"/>
      <c r="F40" s="90" t="s">
        <v>134</v>
      </c>
      <c r="G40" s="91">
        <f>SUM(G41:G46)</f>
        <v>46896156</v>
      </c>
    </row>
    <row r="41" spans="2:7">
      <c r="B41" s="5" t="s">
        <v>135</v>
      </c>
      <c r="C41" s="78" t="s">
        <v>136</v>
      </c>
      <c r="D41" s="79">
        <v>75858367</v>
      </c>
      <c r="E41" s="138" t="s">
        <v>137</v>
      </c>
      <c r="F41" s="78" t="s">
        <v>138</v>
      </c>
      <c r="G41" s="79">
        <v>11514164</v>
      </c>
    </row>
    <row r="42" spans="2:7">
      <c r="B42" s="5" t="s">
        <v>139</v>
      </c>
      <c r="C42" s="78" t="s">
        <v>140</v>
      </c>
      <c r="D42" s="79">
        <v>70492497</v>
      </c>
      <c r="E42" s="138" t="s">
        <v>141</v>
      </c>
      <c r="F42" s="78" t="s">
        <v>142</v>
      </c>
      <c r="G42" s="79">
        <v>0</v>
      </c>
    </row>
    <row r="43" spans="2:7">
      <c r="B43" s="5" t="s">
        <v>143</v>
      </c>
      <c r="C43" s="78" t="s">
        <v>144</v>
      </c>
      <c r="D43" s="79">
        <v>0</v>
      </c>
      <c r="E43" s="138" t="s">
        <v>145</v>
      </c>
      <c r="F43" s="78" t="s">
        <v>146</v>
      </c>
      <c r="G43" s="79">
        <v>2537337</v>
      </c>
    </row>
    <row r="44" spans="2:7">
      <c r="B44" s="5" t="s">
        <v>147</v>
      </c>
      <c r="C44" s="78" t="s">
        <v>148</v>
      </c>
      <c r="D44" s="79">
        <v>0</v>
      </c>
      <c r="E44" s="138" t="s">
        <v>149</v>
      </c>
      <c r="F44" s="78" t="s">
        <v>150</v>
      </c>
      <c r="G44" s="79">
        <v>695764</v>
      </c>
    </row>
    <row r="45" spans="2:7">
      <c r="B45" s="5" t="s">
        <v>151</v>
      </c>
      <c r="C45" s="78" t="s">
        <v>152</v>
      </c>
      <c r="D45" s="79">
        <v>3723922</v>
      </c>
      <c r="E45" s="138" t="s">
        <v>153</v>
      </c>
      <c r="F45" s="78" t="s">
        <v>154</v>
      </c>
      <c r="G45" s="79">
        <v>1925008</v>
      </c>
    </row>
    <row r="46" spans="2:7">
      <c r="B46" s="5" t="s">
        <v>155</v>
      </c>
      <c r="C46" s="78" t="s">
        <v>156</v>
      </c>
      <c r="D46" s="79">
        <v>7364265</v>
      </c>
      <c r="E46" s="138" t="s">
        <v>157</v>
      </c>
      <c r="F46" s="78" t="s">
        <v>158</v>
      </c>
      <c r="G46" s="79">
        <v>30223883</v>
      </c>
    </row>
    <row r="47" spans="2:7" ht="16.5" thickBot="1">
      <c r="B47" s="5"/>
      <c r="C47" s="85" t="s">
        <v>159</v>
      </c>
      <c r="D47" s="86">
        <f>SUM(D36:D46)</f>
        <v>209086091</v>
      </c>
      <c r="E47" s="138" t="s">
        <v>160</v>
      </c>
      <c r="F47" s="78" t="s">
        <v>161</v>
      </c>
      <c r="G47" s="84">
        <v>5656091</v>
      </c>
    </row>
    <row r="48" spans="2:7" ht="16.5" thickBot="1">
      <c r="B48" s="5"/>
      <c r="C48" s="92" t="s">
        <v>162</v>
      </c>
      <c r="D48" s="93"/>
      <c r="E48" s="138"/>
      <c r="F48" s="85" t="s">
        <v>163</v>
      </c>
      <c r="G48" s="94">
        <f>+G33+G40+G47</f>
        <v>159935349</v>
      </c>
    </row>
    <row r="49" spans="2:7">
      <c r="B49" s="5" t="s">
        <v>164</v>
      </c>
      <c r="C49" s="95" t="s">
        <v>165</v>
      </c>
      <c r="D49" s="96">
        <v>0</v>
      </c>
      <c r="E49" s="138" t="s">
        <v>166</v>
      </c>
      <c r="F49" s="80" t="s">
        <v>167</v>
      </c>
      <c r="G49" s="81">
        <v>29883403</v>
      </c>
    </row>
    <row r="50" spans="2:7">
      <c r="B50" s="5" t="s">
        <v>168</v>
      </c>
      <c r="C50" s="78" t="s">
        <v>162</v>
      </c>
      <c r="D50" s="79">
        <v>14536324</v>
      </c>
      <c r="E50" s="138" t="s">
        <v>169</v>
      </c>
      <c r="F50" s="78" t="s">
        <v>170</v>
      </c>
      <c r="G50" s="79">
        <v>69896827</v>
      </c>
    </row>
    <row r="51" spans="2:7">
      <c r="B51" s="5" t="s">
        <v>171</v>
      </c>
      <c r="C51" s="78" t="s">
        <v>172</v>
      </c>
      <c r="D51" s="84">
        <v>568370</v>
      </c>
      <c r="E51" s="138" t="s">
        <v>173</v>
      </c>
      <c r="F51" s="78" t="s">
        <v>174</v>
      </c>
      <c r="G51" s="79">
        <v>2479551</v>
      </c>
    </row>
    <row r="52" spans="2:7" ht="16.5" thickBot="1">
      <c r="B52" s="11"/>
      <c r="C52" s="85" t="s">
        <v>175</v>
      </c>
      <c r="D52" s="86">
        <f>SUM(D49:D51)</f>
        <v>15104694</v>
      </c>
      <c r="E52" s="138" t="s">
        <v>176</v>
      </c>
      <c r="F52" s="78" t="s">
        <v>177</v>
      </c>
      <c r="G52" s="79">
        <v>4712384</v>
      </c>
    </row>
    <row r="53" spans="2:7" ht="16.5" thickBot="1">
      <c r="B53" s="5"/>
      <c r="C53" s="75" t="s">
        <v>178</v>
      </c>
      <c r="D53" s="97">
        <f>D20+D35+D47+D52</f>
        <v>2028391190</v>
      </c>
      <c r="E53" s="138" t="s">
        <v>179</v>
      </c>
      <c r="F53" s="78" t="s">
        <v>180</v>
      </c>
      <c r="G53" s="79">
        <v>6730249</v>
      </c>
    </row>
    <row r="54" spans="2:7">
      <c r="C54" s="98"/>
      <c r="D54" s="99"/>
      <c r="E54" s="138" t="s">
        <v>181</v>
      </c>
      <c r="F54" s="78" t="s">
        <v>182</v>
      </c>
      <c r="G54" s="79">
        <v>1387033</v>
      </c>
    </row>
    <row r="55" spans="2:7">
      <c r="C55" s="100" t="s">
        <v>183</v>
      </c>
      <c r="D55" s="101"/>
      <c r="E55" s="138" t="s">
        <v>184</v>
      </c>
      <c r="F55" s="78" t="s">
        <v>185</v>
      </c>
      <c r="G55" s="79">
        <v>5864220</v>
      </c>
    </row>
    <row r="56" spans="2:7">
      <c r="B56" s="5" t="s">
        <v>186</v>
      </c>
      <c r="C56" s="102" t="s">
        <v>187</v>
      </c>
      <c r="D56" s="79"/>
      <c r="E56" s="138" t="s">
        <v>188</v>
      </c>
      <c r="F56" s="78" t="s">
        <v>189</v>
      </c>
      <c r="G56" s="84">
        <v>4132605</v>
      </c>
    </row>
    <row r="57" spans="2:7" ht="14.25" customHeight="1" thickBot="1">
      <c r="B57" s="5" t="s">
        <v>190</v>
      </c>
      <c r="C57" s="102" t="s">
        <v>191</v>
      </c>
      <c r="D57" s="79"/>
      <c r="E57" s="138"/>
      <c r="F57" s="85" t="s">
        <v>192</v>
      </c>
      <c r="G57" s="86">
        <f>SUM(G49:G56)</f>
        <v>125086272</v>
      </c>
    </row>
    <row r="58" spans="2:7">
      <c r="B58" s="5" t="s">
        <v>193</v>
      </c>
      <c r="C58" s="102" t="s">
        <v>194</v>
      </c>
      <c r="D58" s="79"/>
      <c r="E58" s="138" t="s">
        <v>195</v>
      </c>
      <c r="F58" s="80" t="s">
        <v>196</v>
      </c>
      <c r="G58" s="81">
        <v>0</v>
      </c>
    </row>
    <row r="59" spans="2:7">
      <c r="B59" s="5" t="s">
        <v>197</v>
      </c>
      <c r="C59" s="78" t="s">
        <v>198</v>
      </c>
      <c r="D59" s="84"/>
      <c r="E59" s="138" t="s">
        <v>199</v>
      </c>
      <c r="F59" s="78" t="s">
        <v>200</v>
      </c>
      <c r="G59" s="79">
        <v>20200191</v>
      </c>
    </row>
    <row r="60" spans="2:7" ht="16.5" thickBot="1">
      <c r="B60" s="5"/>
      <c r="C60" s="85" t="s">
        <v>201</v>
      </c>
      <c r="D60" s="86">
        <f>SUM(D56:D59)</f>
        <v>0</v>
      </c>
      <c r="E60" s="138" t="s">
        <v>202</v>
      </c>
      <c r="F60" s="78" t="s">
        <v>203</v>
      </c>
      <c r="G60" s="79">
        <v>13007409</v>
      </c>
    </row>
    <row r="61" spans="2:7" ht="16.5" thickBot="1">
      <c r="B61" s="15"/>
      <c r="C61" s="72" t="s">
        <v>204</v>
      </c>
      <c r="D61" s="103">
        <f>D53+D60</f>
        <v>2028391190</v>
      </c>
      <c r="E61" s="138" t="s">
        <v>205</v>
      </c>
      <c r="F61" s="78" t="s">
        <v>206</v>
      </c>
      <c r="G61" s="79">
        <v>2962124</v>
      </c>
    </row>
    <row r="62" spans="2:7">
      <c r="B62" s="16"/>
      <c r="C62" s="116"/>
      <c r="D62" s="116"/>
      <c r="E62" s="138" t="s">
        <v>207</v>
      </c>
      <c r="F62" s="78" t="s">
        <v>208</v>
      </c>
      <c r="G62" s="79">
        <v>0</v>
      </c>
    </row>
    <row r="63" spans="2:7">
      <c r="B63" s="17"/>
      <c r="C63" s="222" t="s">
        <v>8</v>
      </c>
      <c r="D63" s="222"/>
      <c r="E63" s="138" t="s">
        <v>209</v>
      </c>
      <c r="F63" s="78" t="s">
        <v>210</v>
      </c>
      <c r="G63" s="79">
        <v>9063406</v>
      </c>
    </row>
    <row r="64" spans="2:7">
      <c r="B64" s="18" t="s">
        <v>211</v>
      </c>
      <c r="C64" s="223" t="s">
        <v>212</v>
      </c>
      <c r="D64" s="223">
        <f>[34]Amortizaciones!D6</f>
        <v>12555975</v>
      </c>
      <c r="E64" s="138" t="s">
        <v>213</v>
      </c>
      <c r="F64" s="78" t="s">
        <v>214</v>
      </c>
      <c r="G64" s="79">
        <v>402894</v>
      </c>
    </row>
    <row r="65" spans="2:7">
      <c r="B65" s="18" t="s">
        <v>215</v>
      </c>
      <c r="C65" s="223" t="s">
        <v>216</v>
      </c>
      <c r="D65" s="223">
        <f>[34]Amortizaciones!D7</f>
        <v>0</v>
      </c>
      <c r="E65" s="138" t="s">
        <v>217</v>
      </c>
      <c r="F65" s="78" t="s">
        <v>218</v>
      </c>
      <c r="G65" s="79">
        <v>1022674</v>
      </c>
    </row>
    <row r="66" spans="2:7">
      <c r="B66" s="18" t="s">
        <v>219</v>
      </c>
      <c r="C66" s="223" t="s">
        <v>220</v>
      </c>
      <c r="D66" s="223">
        <f>[34]Amortizaciones!D8</f>
        <v>7681851</v>
      </c>
      <c r="E66" s="138" t="s">
        <v>221</v>
      </c>
      <c r="F66" s="78" t="s">
        <v>222</v>
      </c>
      <c r="G66" s="79">
        <v>11053456</v>
      </c>
    </row>
    <row r="67" spans="2:7">
      <c r="B67" s="18" t="s">
        <v>223</v>
      </c>
      <c r="C67" s="223" t="s">
        <v>224</v>
      </c>
      <c r="D67" s="223">
        <f>[34]Amortizaciones!D9</f>
        <v>0</v>
      </c>
      <c r="E67" s="138" t="s">
        <v>225</v>
      </c>
      <c r="F67" s="78" t="s">
        <v>226</v>
      </c>
      <c r="G67" s="79">
        <v>1230844</v>
      </c>
    </row>
    <row r="68" spans="2:7">
      <c r="B68" s="18" t="s">
        <v>227</v>
      </c>
      <c r="C68" s="223" t="s">
        <v>228</v>
      </c>
      <c r="D68" s="223">
        <f>[34]Amortizaciones!D10</f>
        <v>179596</v>
      </c>
      <c r="E68" s="138" t="s">
        <v>229</v>
      </c>
      <c r="F68" s="78" t="s">
        <v>230</v>
      </c>
      <c r="G68" s="79">
        <v>0</v>
      </c>
    </row>
    <row r="69" spans="2:7">
      <c r="B69" s="18" t="s">
        <v>231</v>
      </c>
      <c r="C69" s="223" t="s">
        <v>232</v>
      </c>
      <c r="D69" s="223">
        <f>[34]Amortizaciones!D11</f>
        <v>1102551</v>
      </c>
      <c r="E69" s="138" t="s">
        <v>233</v>
      </c>
      <c r="F69" s="78" t="s">
        <v>234</v>
      </c>
      <c r="G69" s="79">
        <v>862374</v>
      </c>
    </row>
    <row r="70" spans="2:7">
      <c r="B70" s="18" t="s">
        <v>235</v>
      </c>
      <c r="C70" s="223" t="s">
        <v>236</v>
      </c>
      <c r="D70" s="223">
        <f>[34]Amortizaciones!D12</f>
        <v>538412</v>
      </c>
      <c r="E70" s="138" t="s">
        <v>237</v>
      </c>
      <c r="F70" s="78" t="s">
        <v>238</v>
      </c>
      <c r="G70" s="79">
        <v>2658244</v>
      </c>
    </row>
    <row r="71" spans="2:7">
      <c r="B71" s="18" t="s">
        <v>239</v>
      </c>
      <c r="C71" s="223" t="s">
        <v>240</v>
      </c>
      <c r="D71" s="223">
        <f>[34]Amortizaciones!D13</f>
        <v>2218222</v>
      </c>
      <c r="E71" s="138" t="s">
        <v>241</v>
      </c>
      <c r="F71" s="78" t="s">
        <v>242</v>
      </c>
      <c r="G71" s="79">
        <v>0</v>
      </c>
    </row>
    <row r="72" spans="2:7">
      <c r="B72" s="18" t="s">
        <v>243</v>
      </c>
      <c r="C72" s="223" t="s">
        <v>244</v>
      </c>
      <c r="D72" s="223">
        <f>[34]Amortizaciones!D14</f>
        <v>1864147</v>
      </c>
      <c r="E72" s="138" t="s">
        <v>245</v>
      </c>
      <c r="F72" s="78" t="s">
        <v>246</v>
      </c>
      <c r="G72" s="79">
        <v>3918187</v>
      </c>
    </row>
    <row r="73" spans="2:7">
      <c r="B73" s="18" t="s">
        <v>247</v>
      </c>
      <c r="C73" s="223" t="s">
        <v>248</v>
      </c>
      <c r="D73" s="223">
        <f>[34]Amortizaciones!D15</f>
        <v>0</v>
      </c>
      <c r="E73" s="138" t="s">
        <v>249</v>
      </c>
      <c r="F73" s="78" t="s">
        <v>250</v>
      </c>
      <c r="G73" s="79">
        <v>14001</v>
      </c>
    </row>
    <row r="74" spans="2:7">
      <c r="B74" s="18" t="s">
        <v>251</v>
      </c>
      <c r="C74" s="223" t="s">
        <v>252</v>
      </c>
      <c r="D74" s="223">
        <f>[34]Amortizaciones!D16</f>
        <v>114461</v>
      </c>
      <c r="E74" s="138" t="s">
        <v>253</v>
      </c>
      <c r="F74" s="78" t="s">
        <v>254</v>
      </c>
      <c r="G74" s="79">
        <v>0</v>
      </c>
    </row>
    <row r="75" spans="2:7">
      <c r="B75" s="18" t="s">
        <v>255</v>
      </c>
      <c r="C75" s="223" t="s">
        <v>256</v>
      </c>
      <c r="D75" s="223">
        <f>[34]Amortizaciones!D17</f>
        <v>0</v>
      </c>
      <c r="E75" s="138" t="s">
        <v>257</v>
      </c>
      <c r="F75" s="78" t="s">
        <v>258</v>
      </c>
      <c r="G75" s="79">
        <v>4806509</v>
      </c>
    </row>
    <row r="76" spans="2:7">
      <c r="B76" s="18" t="s">
        <v>259</v>
      </c>
      <c r="C76" s="223" t="s">
        <v>260</v>
      </c>
      <c r="D76" s="223">
        <f>[34]Amortizaciones!D18</f>
        <v>0</v>
      </c>
      <c r="E76" s="138" t="s">
        <v>261</v>
      </c>
      <c r="F76" s="78" t="s">
        <v>262</v>
      </c>
      <c r="G76" s="79">
        <v>3606575</v>
      </c>
    </row>
    <row r="77" spans="2:7">
      <c r="B77" s="18" t="s">
        <v>263</v>
      </c>
      <c r="C77" s="223" t="s">
        <v>264</v>
      </c>
      <c r="D77" s="223">
        <f>SUM(D64:D76)</f>
        <v>26255215</v>
      </c>
      <c r="E77" s="138" t="s">
        <v>265</v>
      </c>
      <c r="F77" s="78" t="s">
        <v>266</v>
      </c>
      <c r="G77" s="79">
        <v>132549985</v>
      </c>
    </row>
    <row r="78" spans="2:7">
      <c r="B78" s="18"/>
      <c r="C78" s="223"/>
      <c r="D78" s="223"/>
      <c r="E78" s="138" t="s">
        <v>267</v>
      </c>
      <c r="F78" s="78" t="s">
        <v>268</v>
      </c>
      <c r="G78" s="84">
        <v>7467963</v>
      </c>
    </row>
    <row r="79" spans="2:7" ht="16.5" thickBot="1">
      <c r="B79" s="18"/>
      <c r="C79" s="222" t="s">
        <v>269</v>
      </c>
      <c r="D79" s="224"/>
      <c r="E79" s="138"/>
      <c r="F79" s="85" t="s">
        <v>270</v>
      </c>
      <c r="G79" s="86">
        <f>SUM(G58:G78)</f>
        <v>214826836</v>
      </c>
    </row>
    <row r="80" spans="2:7">
      <c r="B80" s="18" t="s">
        <v>271</v>
      </c>
      <c r="C80" s="223" t="s">
        <v>236</v>
      </c>
      <c r="D80" s="223">
        <f>[34]Amortizaciones!D22</f>
        <v>29369</v>
      </c>
      <c r="E80" s="138" t="s">
        <v>272</v>
      </c>
      <c r="F80" s="80" t="s">
        <v>273</v>
      </c>
      <c r="G80" s="81">
        <v>0</v>
      </c>
    </row>
    <row r="81" spans="2:7">
      <c r="B81" s="18" t="s">
        <v>274</v>
      </c>
      <c r="C81" s="223" t="s">
        <v>240</v>
      </c>
      <c r="D81" s="223">
        <f>[34]Amortizaciones!D23</f>
        <v>0</v>
      </c>
      <c r="E81" s="138" t="s">
        <v>275</v>
      </c>
      <c r="F81" s="78" t="s">
        <v>276</v>
      </c>
      <c r="G81" s="79">
        <v>10488967</v>
      </c>
    </row>
    <row r="82" spans="2:7">
      <c r="B82" s="18" t="s">
        <v>277</v>
      </c>
      <c r="C82" s="223" t="s">
        <v>244</v>
      </c>
      <c r="D82" s="223">
        <f>[34]Amortizaciones!D24</f>
        <v>191271</v>
      </c>
      <c r="E82" s="138" t="s">
        <v>278</v>
      </c>
      <c r="F82" s="78" t="s">
        <v>279</v>
      </c>
      <c r="G82" s="79">
        <v>8987278</v>
      </c>
    </row>
    <row r="83" spans="2:7">
      <c r="B83" s="18" t="s">
        <v>280</v>
      </c>
      <c r="C83" s="223" t="s">
        <v>248</v>
      </c>
      <c r="D83" s="223">
        <f>[34]Amortizaciones!D25</f>
        <v>0</v>
      </c>
      <c r="E83" s="138" t="s">
        <v>281</v>
      </c>
      <c r="F83" s="78" t="s">
        <v>282</v>
      </c>
      <c r="G83" s="79">
        <v>6482742</v>
      </c>
    </row>
    <row r="84" spans="2:7">
      <c r="B84" s="18" t="s">
        <v>283</v>
      </c>
      <c r="C84" s="223" t="s">
        <v>284</v>
      </c>
      <c r="D84" s="223">
        <v>0</v>
      </c>
      <c r="E84" s="138" t="s">
        <v>285</v>
      </c>
      <c r="F84" s="78" t="s">
        <v>286</v>
      </c>
      <c r="G84" s="79">
        <v>9674256</v>
      </c>
    </row>
    <row r="85" spans="2:7">
      <c r="B85" s="18" t="s">
        <v>287</v>
      </c>
      <c r="C85" s="223" t="s">
        <v>288</v>
      </c>
      <c r="D85" s="223">
        <f>[34]Amortizaciones!D27</f>
        <v>0</v>
      </c>
      <c r="E85" s="138" t="s">
        <v>289</v>
      </c>
      <c r="F85" s="78" t="s">
        <v>290</v>
      </c>
      <c r="G85" s="79">
        <v>2019583</v>
      </c>
    </row>
    <row r="86" spans="2:7" ht="13.5" customHeight="1">
      <c r="B86" s="18" t="s">
        <v>291</v>
      </c>
      <c r="C86" s="223" t="s">
        <v>292</v>
      </c>
      <c r="D86" s="223">
        <f>[34]Amortizaciones!D28</f>
        <v>0</v>
      </c>
      <c r="E86" s="138" t="s">
        <v>293</v>
      </c>
      <c r="F86" s="78" t="s">
        <v>294</v>
      </c>
      <c r="G86" s="79">
        <v>2297175</v>
      </c>
    </row>
    <row r="87" spans="2:7" ht="13.5" customHeight="1">
      <c r="B87" s="18" t="s">
        <v>295</v>
      </c>
      <c r="C87" s="223" t="s">
        <v>296</v>
      </c>
      <c r="D87" s="223">
        <f>[34]Amortizaciones!D29</f>
        <v>0</v>
      </c>
      <c r="E87" s="138" t="s">
        <v>297</v>
      </c>
      <c r="F87" s="78" t="s">
        <v>298</v>
      </c>
      <c r="G87" s="79">
        <v>1116045</v>
      </c>
    </row>
    <row r="88" spans="2:7" ht="13.5" customHeight="1">
      <c r="B88" s="18" t="s">
        <v>299</v>
      </c>
      <c r="C88" s="223" t="s">
        <v>300</v>
      </c>
      <c r="D88" s="223">
        <f>[34]Amortizaciones!D30</f>
        <v>54654</v>
      </c>
      <c r="E88" s="138" t="s">
        <v>301</v>
      </c>
      <c r="F88" s="78" t="s">
        <v>302</v>
      </c>
      <c r="G88" s="79">
        <v>4895870</v>
      </c>
    </row>
    <row r="89" spans="2:7">
      <c r="B89" s="18" t="s">
        <v>303</v>
      </c>
      <c r="C89" s="223" t="s">
        <v>212</v>
      </c>
      <c r="D89" s="223">
        <f>[34]Amortizaciones!D31</f>
        <v>0</v>
      </c>
      <c r="E89" s="138" t="s">
        <v>304</v>
      </c>
      <c r="F89" s="78" t="s">
        <v>305</v>
      </c>
      <c r="G89" s="79">
        <v>849363</v>
      </c>
    </row>
    <row r="90" spans="2:7" ht="14.25" customHeight="1">
      <c r="B90" s="18" t="s">
        <v>306</v>
      </c>
      <c r="C90" s="223" t="s">
        <v>228</v>
      </c>
      <c r="D90" s="223">
        <f>[34]Amortizaciones!D32</f>
        <v>0</v>
      </c>
      <c r="E90" s="138" t="s">
        <v>307</v>
      </c>
      <c r="F90" s="78" t="s">
        <v>308</v>
      </c>
      <c r="G90" s="79">
        <v>2623256</v>
      </c>
    </row>
    <row r="91" spans="2:7" ht="14.25" customHeight="1">
      <c r="B91" s="18" t="s">
        <v>309</v>
      </c>
      <c r="C91" s="223" t="s">
        <v>310</v>
      </c>
      <c r="D91" s="223">
        <f>SUM(D80:D90)</f>
        <v>275294</v>
      </c>
      <c r="E91" s="225" t="s">
        <v>311</v>
      </c>
      <c r="F91" s="78" t="s">
        <v>312</v>
      </c>
      <c r="G91" s="79">
        <v>765444</v>
      </c>
    </row>
    <row r="92" spans="2:7" ht="14.25" customHeight="1">
      <c r="B92" s="18"/>
      <c r="C92" s="226" t="s">
        <v>313</v>
      </c>
      <c r="D92" s="223">
        <f>D77+D91</f>
        <v>26530509</v>
      </c>
      <c r="E92" s="225" t="s">
        <v>314</v>
      </c>
      <c r="F92" s="78" t="s">
        <v>315</v>
      </c>
      <c r="G92" s="79">
        <v>0</v>
      </c>
    </row>
    <row r="93" spans="2:7">
      <c r="C93" s="116"/>
      <c r="D93" s="116"/>
      <c r="E93" s="225" t="s">
        <v>316</v>
      </c>
      <c r="F93" s="78" t="s">
        <v>317</v>
      </c>
      <c r="G93" s="79">
        <v>8524802</v>
      </c>
    </row>
    <row r="94" spans="2:7">
      <c r="C94" s="116"/>
      <c r="D94" s="116"/>
      <c r="E94" s="225" t="s">
        <v>318</v>
      </c>
      <c r="F94" s="78" t="s">
        <v>319</v>
      </c>
      <c r="G94" s="84">
        <v>2178206</v>
      </c>
    </row>
    <row r="95" spans="2:7" ht="13.5" customHeight="1" thickBot="1">
      <c r="C95" s="116"/>
      <c r="D95" s="116"/>
      <c r="E95" s="138"/>
      <c r="F95" s="85" t="s">
        <v>320</v>
      </c>
      <c r="G95" s="86">
        <f>SUM(G80:G94)</f>
        <v>60902987</v>
      </c>
    </row>
    <row r="96" spans="2:7">
      <c r="C96" s="116"/>
      <c r="D96" s="116"/>
      <c r="E96" s="225" t="s">
        <v>321</v>
      </c>
      <c r="F96" s="80" t="s">
        <v>322</v>
      </c>
      <c r="G96" s="81">
        <v>8123777</v>
      </c>
    </row>
    <row r="97" spans="2:7">
      <c r="C97" s="116"/>
      <c r="D97" s="116"/>
      <c r="E97" s="225" t="s">
        <v>323</v>
      </c>
      <c r="F97" s="78" t="s">
        <v>324</v>
      </c>
      <c r="G97" s="79">
        <v>5951674</v>
      </c>
    </row>
    <row r="98" spans="2:7">
      <c r="C98" s="116"/>
      <c r="D98" s="116"/>
      <c r="E98" s="225" t="s">
        <v>325</v>
      </c>
      <c r="F98" s="78" t="s">
        <v>326</v>
      </c>
      <c r="G98" s="79">
        <v>3483715</v>
      </c>
    </row>
    <row r="99" spans="2:7">
      <c r="C99" s="116"/>
      <c r="D99" s="116"/>
      <c r="E99" s="225" t="s">
        <v>327</v>
      </c>
      <c r="F99" s="78" t="s">
        <v>328</v>
      </c>
      <c r="G99" s="79">
        <v>7491976</v>
      </c>
    </row>
    <row r="100" spans="2:7">
      <c r="C100" s="116"/>
      <c r="D100" s="116"/>
      <c r="E100" s="225" t="s">
        <v>329</v>
      </c>
      <c r="F100" s="78" t="s">
        <v>330</v>
      </c>
      <c r="G100" s="84">
        <v>864593</v>
      </c>
    </row>
    <row r="101" spans="2:7" ht="12.75" customHeight="1" thickBot="1">
      <c r="C101" s="116"/>
      <c r="D101" s="116"/>
      <c r="E101" s="138"/>
      <c r="F101" s="85" t="s">
        <v>331</v>
      </c>
      <c r="G101" s="86">
        <f>SUM(G96:G100)</f>
        <v>25915735</v>
      </c>
    </row>
    <row r="102" spans="2:7" ht="12.75" customHeight="1" thickBot="1">
      <c r="C102" s="116"/>
      <c r="D102" s="116"/>
      <c r="E102" s="225"/>
      <c r="F102" s="110" t="s">
        <v>332</v>
      </c>
      <c r="G102" s="111">
        <f>[34]Amortizaciones!D19</f>
        <v>26255215</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1894858173.0799999</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133533016.92000008</v>
      </c>
    </row>
    <row r="110" spans="2:7" ht="6.75" customHeight="1" thickBot="1">
      <c r="B110" s="5"/>
      <c r="C110" s="227"/>
      <c r="D110" s="227"/>
      <c r="E110" s="138"/>
      <c r="F110" s="116"/>
      <c r="G110" s="116"/>
    </row>
    <row r="111" spans="2:7" ht="15" customHeight="1" thickBot="1">
      <c r="C111" s="72" t="s">
        <v>269</v>
      </c>
      <c r="D111" s="118">
        <f>+[34]E.S.P.!D6</f>
        <v>2021</v>
      </c>
      <c r="E111" s="225"/>
      <c r="F111" s="72" t="s">
        <v>340</v>
      </c>
      <c r="G111" s="118">
        <f>+[34]E.S.P.!D6</f>
        <v>2021</v>
      </c>
    </row>
    <row r="112" spans="2:7" ht="13.7" customHeight="1">
      <c r="B112" s="5" t="s">
        <v>341</v>
      </c>
      <c r="C112" s="119" t="s">
        <v>342</v>
      </c>
      <c r="D112" s="120">
        <v>6372526</v>
      </c>
      <c r="E112" s="138" t="s">
        <v>343</v>
      </c>
      <c r="F112" s="119" t="s">
        <v>308</v>
      </c>
      <c r="G112" s="120">
        <v>0</v>
      </c>
    </row>
    <row r="113" spans="2:7" ht="13.7" customHeight="1">
      <c r="B113" s="5" t="s">
        <v>344</v>
      </c>
      <c r="C113" s="121" t="s">
        <v>345</v>
      </c>
      <c r="D113" s="122">
        <v>51388570</v>
      </c>
      <c r="E113" s="138" t="s">
        <v>346</v>
      </c>
      <c r="F113" s="121" t="s">
        <v>347</v>
      </c>
      <c r="G113" s="122">
        <v>0</v>
      </c>
    </row>
    <row r="114" spans="2:7" ht="13.7" customHeight="1">
      <c r="B114" s="5" t="s">
        <v>348</v>
      </c>
      <c r="C114" s="121" t="s">
        <v>48</v>
      </c>
      <c r="D114" s="122">
        <v>0</v>
      </c>
      <c r="E114" s="138" t="s">
        <v>349</v>
      </c>
      <c r="F114" s="121" t="s">
        <v>350</v>
      </c>
      <c r="G114" s="122">
        <v>235783</v>
      </c>
    </row>
    <row r="115" spans="2:7" ht="13.7" customHeight="1">
      <c r="B115" s="5" t="s">
        <v>351</v>
      </c>
      <c r="C115" s="121" t="s">
        <v>352</v>
      </c>
      <c r="D115" s="122">
        <v>32781</v>
      </c>
      <c r="E115" s="138" t="s">
        <v>353</v>
      </c>
      <c r="F115" s="121" t="s">
        <v>354</v>
      </c>
      <c r="G115" s="122">
        <v>805972</v>
      </c>
    </row>
    <row r="116" spans="2:7" ht="13.7" customHeight="1">
      <c r="B116" s="5" t="s">
        <v>355</v>
      </c>
      <c r="C116" s="121" t="s">
        <v>356</v>
      </c>
      <c r="D116" s="122">
        <v>1168712</v>
      </c>
      <c r="E116" s="138" t="s">
        <v>357</v>
      </c>
      <c r="F116" s="121" t="s">
        <v>358</v>
      </c>
      <c r="G116" s="122">
        <v>665016</v>
      </c>
    </row>
    <row r="117" spans="2:7" ht="13.7" customHeight="1">
      <c r="B117" s="5" t="s">
        <v>359</v>
      </c>
      <c r="C117" s="121" t="s">
        <v>360</v>
      </c>
      <c r="D117" s="122">
        <v>65858</v>
      </c>
      <c r="E117" s="138" t="s">
        <v>361</v>
      </c>
      <c r="F117" s="121" t="s">
        <v>362</v>
      </c>
      <c r="G117" s="122">
        <v>455963</v>
      </c>
    </row>
    <row r="118" spans="2:7" ht="13.7" customHeight="1">
      <c r="B118" s="5" t="s">
        <v>363</v>
      </c>
      <c r="C118" s="121" t="s">
        <v>364</v>
      </c>
      <c r="D118" s="122">
        <v>0</v>
      </c>
      <c r="E118" s="138" t="s">
        <v>365</v>
      </c>
      <c r="F118" s="121" t="s">
        <v>366</v>
      </c>
      <c r="G118" s="122"/>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2341563</v>
      </c>
      <c r="E121" s="138" t="s">
        <v>377</v>
      </c>
      <c r="F121" s="121" t="s">
        <v>378</v>
      </c>
      <c r="G121" s="122">
        <v>9363032</v>
      </c>
    </row>
    <row r="122" spans="2:7" ht="13.7" customHeight="1" thickBot="1">
      <c r="B122" s="5"/>
      <c r="C122" s="85" t="s">
        <v>379</v>
      </c>
      <c r="D122" s="94">
        <f>SUM(D112:D121)</f>
        <v>61370010</v>
      </c>
      <c r="E122" s="138" t="s">
        <v>380</v>
      </c>
      <c r="F122" s="78" t="s">
        <v>381</v>
      </c>
      <c r="G122" s="79">
        <v>255573</v>
      </c>
    </row>
    <row r="123" spans="2:7" ht="13.7" customHeight="1" thickBot="1">
      <c r="B123" s="5" t="s">
        <v>382</v>
      </c>
      <c r="C123" s="123" t="s">
        <v>308</v>
      </c>
      <c r="D123" s="120">
        <v>0</v>
      </c>
      <c r="E123" s="225"/>
      <c r="F123" s="85" t="s">
        <v>383</v>
      </c>
      <c r="G123" s="94">
        <f>SUM(G112:G122)</f>
        <v>11781339</v>
      </c>
    </row>
    <row r="124" spans="2:7" ht="13.7" customHeight="1">
      <c r="B124" s="5" t="s">
        <v>384</v>
      </c>
      <c r="C124" s="121" t="s">
        <v>312</v>
      </c>
      <c r="D124" s="122">
        <v>21180</v>
      </c>
      <c r="E124" s="138" t="s">
        <v>385</v>
      </c>
      <c r="F124" s="121" t="s">
        <v>386</v>
      </c>
      <c r="G124" s="122">
        <v>2256918</v>
      </c>
    </row>
    <row r="125" spans="2:7" ht="13.7" customHeight="1">
      <c r="B125" s="5" t="s">
        <v>387</v>
      </c>
      <c r="C125" s="78" t="s">
        <v>388</v>
      </c>
      <c r="D125" s="122">
        <v>923</v>
      </c>
      <c r="E125" s="138" t="s">
        <v>389</v>
      </c>
      <c r="F125" s="121" t="s">
        <v>390</v>
      </c>
      <c r="G125" s="122">
        <v>460338</v>
      </c>
    </row>
    <row r="126" spans="2:7" ht="13.7" customHeight="1" thickBot="1">
      <c r="B126" s="5"/>
      <c r="C126" s="85" t="s">
        <v>391</v>
      </c>
      <c r="D126" s="94">
        <f>SUM(D123:D125)</f>
        <v>22103</v>
      </c>
      <c r="E126" s="138" t="s">
        <v>392</v>
      </c>
      <c r="F126" s="121" t="s">
        <v>393</v>
      </c>
      <c r="G126" s="122">
        <v>260835</v>
      </c>
    </row>
    <row r="127" spans="2:7" ht="13.7" customHeight="1">
      <c r="B127" s="5" t="s">
        <v>394</v>
      </c>
      <c r="C127" s="119" t="s">
        <v>273</v>
      </c>
      <c r="D127" s="120">
        <v>4360626</v>
      </c>
      <c r="E127" s="138" t="s">
        <v>395</v>
      </c>
      <c r="F127" s="121" t="s">
        <v>396</v>
      </c>
      <c r="G127" s="122">
        <v>0</v>
      </c>
    </row>
    <row r="128" spans="2:7" ht="13.7" customHeight="1">
      <c r="B128" s="5" t="s">
        <v>397</v>
      </c>
      <c r="C128" s="121" t="s">
        <v>398</v>
      </c>
      <c r="D128" s="122">
        <v>126274</v>
      </c>
      <c r="E128" s="138" t="s">
        <v>399</v>
      </c>
      <c r="F128" s="121" t="s">
        <v>400</v>
      </c>
      <c r="G128" s="122">
        <v>0</v>
      </c>
    </row>
    <row r="129" spans="2:7" ht="13.7" customHeight="1">
      <c r="B129" s="5" t="s">
        <v>401</v>
      </c>
      <c r="C129" s="121" t="s">
        <v>276</v>
      </c>
      <c r="D129" s="122">
        <v>0</v>
      </c>
      <c r="E129" s="138" t="s">
        <v>402</v>
      </c>
      <c r="F129" s="121" t="s">
        <v>403</v>
      </c>
      <c r="G129" s="122">
        <v>1907447</v>
      </c>
    </row>
    <row r="130" spans="2:7" ht="13.7" customHeight="1">
      <c r="B130" s="5" t="s">
        <v>404</v>
      </c>
      <c r="C130" s="121" t="s">
        <v>282</v>
      </c>
      <c r="D130" s="122">
        <v>80944</v>
      </c>
      <c r="E130" s="138" t="s">
        <v>405</v>
      </c>
      <c r="F130" s="121" t="s">
        <v>406</v>
      </c>
      <c r="G130" s="122">
        <v>0</v>
      </c>
    </row>
    <row r="131" spans="2:7" ht="13.7" customHeight="1">
      <c r="B131" s="5" t="s">
        <v>407</v>
      </c>
      <c r="C131" s="121" t="s">
        <v>286</v>
      </c>
      <c r="D131" s="122">
        <v>344634</v>
      </c>
      <c r="E131" s="138" t="s">
        <v>408</v>
      </c>
      <c r="F131" s="121" t="s">
        <v>409</v>
      </c>
      <c r="G131" s="122">
        <v>0</v>
      </c>
    </row>
    <row r="132" spans="2:7" ht="13.7" customHeight="1">
      <c r="B132" s="5" t="s">
        <v>410</v>
      </c>
      <c r="C132" s="121" t="s">
        <v>290</v>
      </c>
      <c r="D132" s="122">
        <v>36370</v>
      </c>
      <c r="E132" s="138" t="s">
        <v>411</v>
      </c>
      <c r="F132" s="121" t="s">
        <v>412</v>
      </c>
      <c r="G132" s="122">
        <v>0</v>
      </c>
    </row>
    <row r="133" spans="2:7" ht="13.7" customHeight="1">
      <c r="B133" s="5" t="s">
        <v>413</v>
      </c>
      <c r="C133" s="121" t="s">
        <v>294</v>
      </c>
      <c r="D133" s="122">
        <v>0</v>
      </c>
      <c r="E133" s="138" t="s">
        <v>414</v>
      </c>
      <c r="F133" s="121" t="s">
        <v>415</v>
      </c>
      <c r="G133" s="122">
        <v>0</v>
      </c>
    </row>
    <row r="134" spans="2:7" ht="13.7" customHeight="1">
      <c r="B134" s="5" t="s">
        <v>416</v>
      </c>
      <c r="C134" s="121" t="s">
        <v>417</v>
      </c>
      <c r="D134" s="122">
        <v>623850</v>
      </c>
      <c r="E134" s="138" t="s">
        <v>418</v>
      </c>
      <c r="F134" s="121" t="s">
        <v>419</v>
      </c>
      <c r="G134" s="122">
        <v>0</v>
      </c>
    </row>
    <row r="135" spans="2:7" ht="13.7" customHeight="1">
      <c r="B135" s="5" t="s">
        <v>420</v>
      </c>
      <c r="C135" s="121" t="s">
        <v>421</v>
      </c>
      <c r="D135" s="122">
        <v>4436052</v>
      </c>
      <c r="E135" s="138" t="s">
        <v>422</v>
      </c>
      <c r="F135" s="121" t="s">
        <v>423</v>
      </c>
      <c r="G135" s="122">
        <v>1673108</v>
      </c>
    </row>
    <row r="136" spans="2:7" ht="13.7" customHeight="1">
      <c r="B136" s="5" t="s">
        <v>424</v>
      </c>
      <c r="C136" s="121" t="s">
        <v>317</v>
      </c>
      <c r="D136" s="122">
        <v>19403096</v>
      </c>
      <c r="E136" s="138" t="s">
        <v>425</v>
      </c>
      <c r="F136" s="121" t="s">
        <v>426</v>
      </c>
      <c r="G136" s="122">
        <v>48764</v>
      </c>
    </row>
    <row r="137" spans="2:7" ht="13.7" customHeight="1">
      <c r="B137" s="5" t="s">
        <v>427</v>
      </c>
      <c r="C137" s="78" t="s">
        <v>319</v>
      </c>
      <c r="D137" s="124">
        <v>1087358</v>
      </c>
      <c r="E137" s="138" t="s">
        <v>428</v>
      </c>
      <c r="F137" s="121" t="s">
        <v>429</v>
      </c>
      <c r="G137" s="122">
        <v>8473859</v>
      </c>
    </row>
    <row r="138" spans="2:7" ht="13.7" customHeight="1" thickBot="1">
      <c r="B138" s="5"/>
      <c r="C138" s="85" t="s">
        <v>320</v>
      </c>
      <c r="D138" s="94">
        <f>SUM(D127:D137)</f>
        <v>30499204</v>
      </c>
      <c r="E138" s="138" t="s">
        <v>430</v>
      </c>
      <c r="F138" s="78" t="s">
        <v>431</v>
      </c>
      <c r="G138" s="79">
        <v>174807</v>
      </c>
    </row>
    <row r="139" spans="2:7" ht="13.7" customHeight="1" thickBot="1">
      <c r="B139" s="5" t="s">
        <v>432</v>
      </c>
      <c r="C139" s="119" t="s">
        <v>326</v>
      </c>
      <c r="D139" s="120">
        <v>0</v>
      </c>
      <c r="E139" s="228"/>
      <c r="F139" s="85" t="s">
        <v>433</v>
      </c>
      <c r="G139" s="94">
        <f>SUM(G124:G138)</f>
        <v>15256076</v>
      </c>
    </row>
    <row r="140" spans="2:7" ht="13.7" customHeight="1" thickBot="1">
      <c r="B140" s="5" t="s">
        <v>434</v>
      </c>
      <c r="C140" s="121" t="s">
        <v>328</v>
      </c>
      <c r="D140" s="122">
        <v>68839</v>
      </c>
      <c r="E140" s="228"/>
      <c r="F140" s="110" t="s">
        <v>435</v>
      </c>
      <c r="G140" s="126">
        <f>G123-G139</f>
        <v>-3474737</v>
      </c>
    </row>
    <row r="141" spans="2:7" ht="13.7" customHeight="1">
      <c r="B141" s="5" t="s">
        <v>436</v>
      </c>
      <c r="C141" s="78" t="s">
        <v>330</v>
      </c>
      <c r="D141" s="124">
        <v>3627</v>
      </c>
      <c r="E141" s="229"/>
      <c r="F141" s="116"/>
      <c r="G141" s="116"/>
    </row>
    <row r="142" spans="2:7" ht="13.7" customHeight="1" thickBot="1">
      <c r="B142" s="5"/>
      <c r="C142" s="85" t="s">
        <v>331</v>
      </c>
      <c r="D142" s="94">
        <f>SUM(D139:D141)</f>
        <v>72466</v>
      </c>
      <c r="E142" s="229"/>
      <c r="F142" s="116"/>
      <c r="G142" s="116"/>
    </row>
    <row r="143" spans="2:7" ht="13.5" customHeight="1" thickBot="1">
      <c r="B143" s="5"/>
      <c r="C143" s="110" t="s">
        <v>332</v>
      </c>
      <c r="D143" s="126">
        <f>[34]Amortizaciones!D33</f>
        <v>275294</v>
      </c>
      <c r="E143" s="138"/>
      <c r="F143" s="72" t="s">
        <v>437</v>
      </c>
      <c r="G143" s="118">
        <f>+[34]E.S.P.!D6</f>
        <v>2021</v>
      </c>
    </row>
    <row r="144" spans="2:7" ht="13.7" customHeight="1">
      <c r="B144" s="5" t="s">
        <v>438</v>
      </c>
      <c r="C144" s="119" t="s">
        <v>439</v>
      </c>
      <c r="D144" s="120">
        <v>0</v>
      </c>
      <c r="E144" s="138" t="s">
        <v>440</v>
      </c>
      <c r="F144" s="119" t="s">
        <v>441</v>
      </c>
      <c r="G144" s="120">
        <v>3145509</v>
      </c>
    </row>
    <row r="145" spans="2:7" ht="13.7" customHeight="1">
      <c r="B145" s="5" t="s">
        <v>442</v>
      </c>
      <c r="C145" s="121" t="s">
        <v>443</v>
      </c>
      <c r="D145" s="122">
        <v>1317</v>
      </c>
      <c r="E145" s="138" t="s">
        <v>444</v>
      </c>
      <c r="F145" s="121" t="s">
        <v>445</v>
      </c>
      <c r="G145" s="122">
        <v>0</v>
      </c>
    </row>
    <row r="146" spans="2:7" ht="13.7" customHeight="1">
      <c r="B146" s="5" t="s">
        <v>446</v>
      </c>
      <c r="C146" s="128" t="s">
        <v>447</v>
      </c>
      <c r="D146" s="122">
        <v>0</v>
      </c>
      <c r="E146" s="138" t="s">
        <v>448</v>
      </c>
      <c r="F146" s="121" t="s">
        <v>449</v>
      </c>
      <c r="G146" s="122">
        <v>1051645</v>
      </c>
    </row>
    <row r="147" spans="2:7" ht="13.7" customHeight="1">
      <c r="B147" s="5" t="s">
        <v>450</v>
      </c>
      <c r="C147" s="78" t="s">
        <v>451</v>
      </c>
      <c r="D147" s="124">
        <v>98</v>
      </c>
      <c r="E147" s="138" t="s">
        <v>452</v>
      </c>
      <c r="F147" s="121" t="s">
        <v>453</v>
      </c>
      <c r="G147" s="122">
        <v>0</v>
      </c>
    </row>
    <row r="148" spans="2:7" ht="13.7" customHeight="1" thickBot="1">
      <c r="B148" s="5"/>
      <c r="C148" s="85" t="s">
        <v>518</v>
      </c>
      <c r="D148" s="94">
        <f>SUM(D144:D147)</f>
        <v>1415</v>
      </c>
      <c r="E148" s="138" t="s">
        <v>454</v>
      </c>
      <c r="F148" s="121" t="s">
        <v>455</v>
      </c>
      <c r="G148" s="122">
        <v>0</v>
      </c>
    </row>
    <row r="149" spans="2:7" ht="13.7" customHeight="1">
      <c r="B149" s="5" t="s">
        <v>456</v>
      </c>
      <c r="C149" s="119" t="s">
        <v>457</v>
      </c>
      <c r="D149" s="120">
        <v>677214</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44547</v>
      </c>
      <c r="E151" s="138" t="s">
        <v>466</v>
      </c>
      <c r="F151" s="121" t="s">
        <v>467</v>
      </c>
      <c r="G151" s="122">
        <v>5455813</v>
      </c>
    </row>
    <row r="152" spans="2:7" ht="13.7" customHeight="1" thickBot="1">
      <c r="B152" s="5"/>
      <c r="C152" s="85" t="s">
        <v>516</v>
      </c>
      <c r="D152" s="94">
        <f>SUM(D149:D151)</f>
        <v>721761</v>
      </c>
      <c r="E152" s="138" t="s">
        <v>469</v>
      </c>
      <c r="F152" s="121" t="s">
        <v>470</v>
      </c>
      <c r="G152" s="122">
        <v>0</v>
      </c>
    </row>
    <row r="153" spans="2:7" ht="15" customHeight="1" thickBot="1">
      <c r="B153" s="5"/>
      <c r="C153" s="110" t="s">
        <v>471</v>
      </c>
      <c r="D153" s="129">
        <f>D122+D126+D138+D142+D143+D148+D152</f>
        <v>92962253</v>
      </c>
      <c r="E153" s="138" t="s">
        <v>472</v>
      </c>
      <c r="F153" s="78" t="s">
        <v>473</v>
      </c>
      <c r="G153" s="79">
        <v>152591</v>
      </c>
    </row>
    <row r="154" spans="2:7" ht="13.7" customHeight="1" thickBot="1">
      <c r="B154" s="5"/>
      <c r="C154" s="116"/>
      <c r="D154" s="116"/>
      <c r="E154" s="138"/>
      <c r="F154" s="85" t="s">
        <v>474</v>
      </c>
      <c r="G154" s="94">
        <f>SUM(G144:G153)</f>
        <v>9805558</v>
      </c>
    </row>
    <row r="155" spans="2:7" ht="13.5" customHeight="1" thickBot="1">
      <c r="B155" s="5"/>
      <c r="C155" s="72" t="s">
        <v>475</v>
      </c>
      <c r="D155" s="103">
        <f>G109-D153</f>
        <v>40570763.920000076</v>
      </c>
      <c r="E155" s="138" t="s">
        <v>476</v>
      </c>
      <c r="F155" s="119" t="s">
        <v>477</v>
      </c>
      <c r="G155" s="120">
        <v>4250820</v>
      </c>
    </row>
    <row r="156" spans="2:7" ht="13.7" customHeight="1">
      <c r="C156" s="116"/>
      <c r="D156" s="116"/>
      <c r="E156" s="138" t="s">
        <v>478</v>
      </c>
      <c r="F156" s="121" t="s">
        <v>479</v>
      </c>
      <c r="G156" s="122">
        <v>3814191</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1889</v>
      </c>
    </row>
    <row r="161" spans="3:7" ht="13.7" customHeight="1">
      <c r="C161" s="116"/>
      <c r="D161" s="116"/>
      <c r="E161" s="138" t="s">
        <v>488</v>
      </c>
      <c r="F161" s="121" t="s">
        <v>489</v>
      </c>
      <c r="G161" s="122">
        <v>1511234</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f>799450-3</f>
        <v>799447</v>
      </c>
    </row>
    <row r="167" spans="3:7" ht="13.7" customHeight="1">
      <c r="C167" s="116"/>
      <c r="D167" s="116"/>
      <c r="E167" s="138" t="s">
        <v>500</v>
      </c>
      <c r="F167" s="78" t="s">
        <v>501</v>
      </c>
      <c r="G167" s="79">
        <v>239022</v>
      </c>
    </row>
    <row r="168" spans="3:7" ht="13.7" customHeight="1" thickBot="1">
      <c r="C168" s="116"/>
      <c r="D168" s="116"/>
      <c r="E168" s="138"/>
      <c r="F168" s="85" t="s">
        <v>502</v>
      </c>
      <c r="G168" s="94">
        <f>SUM(G155:G167)</f>
        <v>10616603</v>
      </c>
    </row>
    <row r="169" spans="3:7" ht="13.7" customHeight="1" thickBot="1">
      <c r="C169" s="116"/>
      <c r="D169" s="116"/>
      <c r="E169" s="138"/>
      <c r="F169" s="110" t="s">
        <v>503</v>
      </c>
      <c r="G169" s="126">
        <f>G154-G168</f>
        <v>-811045</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36284981.920000076</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5745511</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5745511</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42030492.920000076</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43" priority="2" stopIfTrue="1" operator="greaterThan">
      <formula>50</formula>
    </cfRule>
    <cfRule type="cellIs" dxfId="142" priority="11" stopIfTrue="1" operator="equal">
      <formula>0</formula>
    </cfRule>
  </conditionalFormatting>
  <conditionalFormatting sqref="D7:D61">
    <cfRule type="cellIs" dxfId="141" priority="9" stopIfTrue="1" operator="between">
      <formula>-0.1</formula>
      <formula>-50</formula>
    </cfRule>
    <cfRule type="cellIs" dxfId="140" priority="10" stopIfTrue="1" operator="between">
      <formula>0.1</formula>
      <formula>50</formula>
    </cfRule>
  </conditionalFormatting>
  <conditionalFormatting sqref="G152:G181 G7:G150">
    <cfRule type="cellIs" dxfId="139" priority="7" stopIfTrue="1" operator="between">
      <formula>-0.1</formula>
      <formula>-50</formula>
    </cfRule>
    <cfRule type="cellIs" dxfId="138" priority="8" stopIfTrue="1" operator="between">
      <formula>0.1</formula>
      <formula>50</formula>
    </cfRule>
  </conditionalFormatting>
  <conditionalFormatting sqref="D111:D155">
    <cfRule type="cellIs" dxfId="137" priority="5" stopIfTrue="1" operator="between">
      <formula>-0.1</formula>
      <formula>-50</formula>
    </cfRule>
    <cfRule type="cellIs" dxfId="136" priority="6" stopIfTrue="1" operator="between">
      <formula>0.1</formula>
      <formula>50</formula>
    </cfRule>
  </conditionalFormatting>
  <conditionalFormatting sqref="G165">
    <cfRule type="expression" dxfId="135" priority="4" stopIfTrue="1">
      <formula>AND($G$165&gt;0,$G$151&gt;0)</formula>
    </cfRule>
  </conditionalFormatting>
  <conditionalFormatting sqref="G151">
    <cfRule type="expression" dxfId="13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66 D19" unlockedFormula="1"/>
    <ignoredError sqref="G40" formulaRange="1"/>
  </ignoredError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D169" sqref="D169"/>
    </sheetView>
  </sheetViews>
  <sheetFormatPr baseColWidth="10" defaultColWidth="0" defaultRowHeight="15.75" zeroHeight="1"/>
  <cols>
    <col min="1" max="1" width="3" style="1" customWidth="1"/>
    <col min="2" max="2" width="14.28515625" style="6" hidden="1" customWidth="1"/>
    <col min="3" max="3" width="56.28515625" style="19" customWidth="1"/>
    <col min="4" max="4" width="21" style="19" customWidth="1"/>
    <col min="5" max="5" width="3.85546875" style="13" customWidth="1"/>
    <col min="6" max="6" width="57.28515625" style="19" customWidth="1"/>
    <col min="7" max="7" width="21" style="19" customWidth="1"/>
    <col min="8" max="8" width="3.42578125" style="4" customWidth="1"/>
    <col min="9" max="16384" width="0" style="4" hidden="1"/>
  </cols>
  <sheetData>
    <row r="1" spans="1:9">
      <c r="B1" s="2"/>
      <c r="C1" s="255" t="s">
        <v>0</v>
      </c>
      <c r="D1" s="258"/>
      <c r="E1" s="253" t="str">
        <f>[35]Presentacion!C3</f>
        <v>COMTA - IAMPP</v>
      </c>
      <c r="F1" s="253"/>
      <c r="G1" s="136"/>
      <c r="H1" s="3"/>
    </row>
    <row r="2" spans="1:9">
      <c r="B2" s="5"/>
      <c r="C2" s="255" t="s">
        <v>1</v>
      </c>
      <c r="D2" s="258"/>
      <c r="E2" s="253" t="str">
        <f>[35]Presentacion!C4</f>
        <v>Tacuarembo</v>
      </c>
      <c r="F2" s="253"/>
      <c r="G2" s="136"/>
      <c r="H2" s="3"/>
    </row>
    <row r="3" spans="1:9">
      <c r="B3" s="5"/>
      <c r="C3" s="263" t="s">
        <v>2</v>
      </c>
      <c r="D3" s="263"/>
      <c r="E3" s="254" t="s">
        <v>3</v>
      </c>
      <c r="F3" s="254"/>
      <c r="G3" s="136"/>
      <c r="H3" s="3"/>
    </row>
    <row r="4" spans="1:9" ht="14.2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+[35]E.S.P.!D6</f>
        <v>2021</v>
      </c>
      <c r="E6" s="138"/>
      <c r="F6" s="75" t="s">
        <v>8</v>
      </c>
      <c r="G6" s="76">
        <f>+D6</f>
        <v>2021</v>
      </c>
      <c r="H6" s="12"/>
    </row>
    <row r="7" spans="1:9">
      <c r="B7" s="5" t="s">
        <v>9</v>
      </c>
      <c r="C7" s="78" t="s">
        <v>10</v>
      </c>
      <c r="D7" s="79">
        <f>4983374+4102311+21582749+94150</f>
        <v>30762584</v>
      </c>
      <c r="E7" s="138" t="s">
        <v>11</v>
      </c>
      <c r="F7" s="80" t="s">
        <v>12</v>
      </c>
      <c r="G7" s="81">
        <f>3665721+1208158</f>
        <v>4873879</v>
      </c>
    </row>
    <row r="8" spans="1:9">
      <c r="B8" s="5" t="s">
        <v>13</v>
      </c>
      <c r="C8" s="78" t="s">
        <v>14</v>
      </c>
      <c r="D8" s="79">
        <f>10427904+48429418+180687</f>
        <v>59038009</v>
      </c>
      <c r="E8" s="138" t="s">
        <v>15</v>
      </c>
      <c r="F8" s="78" t="s">
        <v>16</v>
      </c>
      <c r="G8" s="82">
        <f>71351734+10850451+29544941</f>
        <v>111747126</v>
      </c>
    </row>
    <row r="9" spans="1:9">
      <c r="B9" s="5" t="s">
        <v>17</v>
      </c>
      <c r="C9" s="78" t="s">
        <v>18</v>
      </c>
      <c r="D9" s="79">
        <f>152469287+931731475+3328406</f>
        <v>1087529168</v>
      </c>
      <c r="E9" s="138" t="s">
        <v>19</v>
      </c>
      <c r="F9" s="78" t="s">
        <v>20</v>
      </c>
      <c r="G9" s="79">
        <v>0</v>
      </c>
    </row>
    <row r="10" spans="1:9">
      <c r="B10" s="5" t="s">
        <v>21</v>
      </c>
      <c r="C10" s="78" t="s">
        <v>22</v>
      </c>
      <c r="D10" s="79">
        <f>11554823+92124277</f>
        <v>103679100</v>
      </c>
      <c r="E10" s="138" t="s">
        <v>23</v>
      </c>
      <c r="F10" s="78" t="s">
        <v>24</v>
      </c>
      <c r="G10" s="79">
        <f>261052848+12178834</f>
        <v>273231682</v>
      </c>
    </row>
    <row r="11" spans="1:9">
      <c r="B11" s="5" t="s">
        <v>25</v>
      </c>
      <c r="C11" s="78" t="s">
        <v>26</v>
      </c>
      <c r="D11" s="79">
        <f>21085711+3388392</f>
        <v>24474103</v>
      </c>
      <c r="E11" s="138" t="s">
        <v>27</v>
      </c>
      <c r="F11" s="78" t="s">
        <v>28</v>
      </c>
      <c r="G11" s="79">
        <v>0</v>
      </c>
    </row>
    <row r="12" spans="1:9">
      <c r="B12" s="5" t="s">
        <v>29</v>
      </c>
      <c r="C12" s="78" t="s">
        <v>30</v>
      </c>
      <c r="D12" s="79">
        <f>4021459+19342732</f>
        <v>23364191</v>
      </c>
      <c r="E12" s="138" t="s">
        <v>31</v>
      </c>
      <c r="F12" s="78" t="s">
        <v>32</v>
      </c>
      <c r="G12" s="79">
        <f>48565774+741670</f>
        <v>49307444</v>
      </c>
    </row>
    <row r="13" spans="1:9">
      <c r="B13" s="5" t="s">
        <v>33</v>
      </c>
      <c r="C13" s="78" t="s">
        <v>34</v>
      </c>
      <c r="D13" s="79">
        <f>27378+4104421</f>
        <v>4131799</v>
      </c>
      <c r="E13" s="138" t="s">
        <v>35</v>
      </c>
      <c r="F13" s="78" t="s">
        <v>36</v>
      </c>
      <c r="G13" s="79">
        <v>0</v>
      </c>
    </row>
    <row r="14" spans="1:9">
      <c r="A14" s="14"/>
      <c r="B14" s="5" t="s">
        <v>37</v>
      </c>
      <c r="C14" s="78" t="s">
        <v>38</v>
      </c>
      <c r="D14" s="79">
        <v>11056783</v>
      </c>
      <c r="E14" s="138" t="s">
        <v>39</v>
      </c>
      <c r="F14" s="78" t="s">
        <v>40</v>
      </c>
      <c r="G14" s="79">
        <f>184212451+19220536</f>
        <v>203432987</v>
      </c>
    </row>
    <row r="15" spans="1:9">
      <c r="B15" s="5" t="s">
        <v>41</v>
      </c>
      <c r="C15" s="83" t="s">
        <v>42</v>
      </c>
      <c r="D15" s="79">
        <v>0</v>
      </c>
      <c r="E15" s="138" t="s">
        <v>43</v>
      </c>
      <c r="F15" s="78" t="s">
        <v>44</v>
      </c>
      <c r="G15" s="79">
        <f>34196695+2950918</f>
        <v>37147613</v>
      </c>
    </row>
    <row r="16" spans="1:9">
      <c r="B16" s="5" t="s">
        <v>45</v>
      </c>
      <c r="C16" s="78" t="s">
        <v>46</v>
      </c>
      <c r="D16" s="79">
        <v>0</v>
      </c>
      <c r="E16" s="138" t="s">
        <v>47</v>
      </c>
      <c r="F16" s="78" t="s">
        <v>48</v>
      </c>
      <c r="G16" s="79">
        <f>54313586+4863755</f>
        <v>59177341</v>
      </c>
    </row>
    <row r="17" spans="1:7">
      <c r="B17" s="5" t="s">
        <v>49</v>
      </c>
      <c r="C17" s="78" t="s">
        <v>50</v>
      </c>
      <c r="D17" s="79">
        <v>0</v>
      </c>
      <c r="E17" s="138" t="s">
        <v>51</v>
      </c>
      <c r="F17" s="78" t="s">
        <v>52</v>
      </c>
      <c r="G17" s="79">
        <v>0</v>
      </c>
    </row>
    <row r="18" spans="1:7">
      <c r="A18" s="14"/>
      <c r="B18" s="5" t="s">
        <v>53</v>
      </c>
      <c r="C18" s="78" t="s">
        <v>54</v>
      </c>
      <c r="D18" s="79">
        <v>0</v>
      </c>
      <c r="E18" s="138" t="s">
        <v>55</v>
      </c>
      <c r="F18" s="78" t="s">
        <v>56</v>
      </c>
      <c r="G18" s="84">
        <f>22546540+2768813</f>
        <v>25315353</v>
      </c>
    </row>
    <row r="19" spans="1:7" ht="16.5" thickBot="1">
      <c r="A19" s="14"/>
      <c r="B19" s="5" t="s">
        <v>57</v>
      </c>
      <c r="C19" s="78" t="s">
        <v>58</v>
      </c>
      <c r="D19" s="79">
        <f>6402261+39520993</f>
        <v>45923254</v>
      </c>
      <c r="E19" s="138"/>
      <c r="F19" s="85" t="s">
        <v>59</v>
      </c>
      <c r="G19" s="86">
        <f>SUM(G7:G18)</f>
        <v>764233425</v>
      </c>
    </row>
    <row r="20" spans="1:7" ht="16.5" thickBot="1">
      <c r="B20" s="5"/>
      <c r="C20" s="85" t="s">
        <v>60</v>
      </c>
      <c r="D20" s="86">
        <f>SUM(D7:D19)</f>
        <v>1389958991</v>
      </c>
      <c r="E20" s="138" t="s">
        <v>61</v>
      </c>
      <c r="F20" s="80" t="s">
        <v>62</v>
      </c>
      <c r="G20" s="81">
        <v>0</v>
      </c>
    </row>
    <row r="21" spans="1:7">
      <c r="B21" s="5"/>
      <c r="C21" s="87" t="s">
        <v>63</v>
      </c>
      <c r="D21" s="88">
        <f>SUM(D22:D28)</f>
        <v>12994905</v>
      </c>
      <c r="E21" s="138" t="s">
        <v>64</v>
      </c>
      <c r="F21" s="78" t="s">
        <v>65</v>
      </c>
      <c r="G21" s="79">
        <f>24314109+2395250+52982</f>
        <v>26762341</v>
      </c>
    </row>
    <row r="22" spans="1:7">
      <c r="B22" s="5" t="s">
        <v>66</v>
      </c>
      <c r="C22" s="78" t="s">
        <v>67</v>
      </c>
      <c r="D22" s="79">
        <f>6151783+954321</f>
        <v>7106104</v>
      </c>
      <c r="E22" s="138" t="s">
        <v>68</v>
      </c>
      <c r="F22" s="78" t="s">
        <v>69</v>
      </c>
      <c r="G22" s="79">
        <v>0</v>
      </c>
    </row>
    <row r="23" spans="1:7">
      <c r="B23" s="5" t="s">
        <v>70</v>
      </c>
      <c r="C23" s="78" t="s">
        <v>71</v>
      </c>
      <c r="D23" s="79">
        <f>163492+516</f>
        <v>164008</v>
      </c>
      <c r="E23" s="138" t="s">
        <v>72</v>
      </c>
      <c r="F23" s="78" t="s">
        <v>73</v>
      </c>
      <c r="G23" s="79">
        <f>13167413+2129257</f>
        <v>15296670</v>
      </c>
    </row>
    <row r="24" spans="1:7">
      <c r="B24" s="5" t="s">
        <v>74</v>
      </c>
      <c r="C24" s="78" t="s">
        <v>75</v>
      </c>
      <c r="D24" s="79">
        <f>3002875+528753</f>
        <v>3531628</v>
      </c>
      <c r="E24" s="138" t="s">
        <v>76</v>
      </c>
      <c r="F24" s="78" t="s">
        <v>77</v>
      </c>
      <c r="G24" s="79">
        <v>0</v>
      </c>
    </row>
    <row r="25" spans="1:7">
      <c r="B25" s="5" t="s">
        <v>78</v>
      </c>
      <c r="C25" s="78" t="s">
        <v>79</v>
      </c>
      <c r="D25" s="79">
        <f>801703+191759</f>
        <v>993462</v>
      </c>
      <c r="E25" s="138" t="s">
        <v>80</v>
      </c>
      <c r="F25" s="78" t="s">
        <v>81</v>
      </c>
      <c r="G25" s="79">
        <f>5050310+643899</f>
        <v>5694209</v>
      </c>
    </row>
    <row r="26" spans="1:7">
      <c r="B26" s="5" t="s">
        <v>82</v>
      </c>
      <c r="C26" s="78" t="s">
        <v>83</v>
      </c>
      <c r="D26" s="79">
        <f>471410+152717</f>
        <v>624127</v>
      </c>
      <c r="E26" s="138" t="s">
        <v>84</v>
      </c>
      <c r="F26" s="78" t="s">
        <v>85</v>
      </c>
      <c r="G26" s="84">
        <f>1458957+177070</f>
        <v>1636027</v>
      </c>
    </row>
    <row r="27" spans="1:7" ht="13.5" customHeight="1" thickBot="1">
      <c r="B27" s="5" t="s">
        <v>86</v>
      </c>
      <c r="C27" s="78" t="s">
        <v>87</v>
      </c>
      <c r="D27" s="79">
        <f>77355+67763</f>
        <v>145118</v>
      </c>
      <c r="E27" s="138"/>
      <c r="F27" s="85" t="s">
        <v>88</v>
      </c>
      <c r="G27" s="86">
        <f>SUM(G20:G26)</f>
        <v>49389247</v>
      </c>
    </row>
    <row r="28" spans="1:7">
      <c r="B28" s="5" t="s">
        <v>89</v>
      </c>
      <c r="C28" s="78" t="s">
        <v>90</v>
      </c>
      <c r="D28" s="79">
        <f>64951+365507</f>
        <v>430458</v>
      </c>
      <c r="E28" s="138" t="s">
        <v>91</v>
      </c>
      <c r="F28" s="80" t="s">
        <v>92</v>
      </c>
      <c r="G28" s="81">
        <f>39110787+15536465-90150</f>
        <v>54557102</v>
      </c>
    </row>
    <row r="29" spans="1:7">
      <c r="B29" s="5"/>
      <c r="C29" s="89" t="s">
        <v>93</v>
      </c>
      <c r="D29" s="88">
        <f>SUM(D30:D34)</f>
        <v>81565868</v>
      </c>
      <c r="E29" s="138" t="s">
        <v>94</v>
      </c>
      <c r="F29" s="78" t="s">
        <v>95</v>
      </c>
      <c r="G29" s="79">
        <f>25073678+11491496-55296</f>
        <v>36509878</v>
      </c>
    </row>
    <row r="30" spans="1:7">
      <c r="B30" s="5" t="s">
        <v>96</v>
      </c>
      <c r="C30" s="78" t="s">
        <v>97</v>
      </c>
      <c r="D30" s="79">
        <f>55867256+11495862</f>
        <v>67363118</v>
      </c>
      <c r="E30" s="138" t="s">
        <v>98</v>
      </c>
      <c r="F30" s="78" t="s">
        <v>99</v>
      </c>
      <c r="G30" s="79">
        <f>6100642+2460102</f>
        <v>8560744</v>
      </c>
    </row>
    <row r="31" spans="1:7">
      <c r="B31" s="5" t="s">
        <v>100</v>
      </c>
      <c r="C31" s="78" t="s">
        <v>101</v>
      </c>
      <c r="D31" s="79">
        <f>5824541+1158376</f>
        <v>6982917</v>
      </c>
      <c r="E31" s="138" t="s">
        <v>102</v>
      </c>
      <c r="F31" s="78" t="s">
        <v>103</v>
      </c>
      <c r="G31" s="84">
        <f>2407970+1010262</f>
        <v>3418232</v>
      </c>
    </row>
    <row r="32" spans="1:7" ht="16.5" thickBot="1">
      <c r="B32" s="5" t="s">
        <v>104</v>
      </c>
      <c r="C32" s="78" t="s">
        <v>105</v>
      </c>
      <c r="D32" s="79">
        <f>3543831+580785</f>
        <v>4124616</v>
      </c>
      <c r="E32" s="138"/>
      <c r="F32" s="85" t="s">
        <v>106</v>
      </c>
      <c r="G32" s="86">
        <f>SUM(G28:G31)</f>
        <v>103045956</v>
      </c>
    </row>
    <row r="33" spans="2:7">
      <c r="B33" s="5" t="s">
        <v>107</v>
      </c>
      <c r="C33" s="78" t="s">
        <v>108</v>
      </c>
      <c r="D33" s="79">
        <f>251884+141451</f>
        <v>393335</v>
      </c>
      <c r="E33" s="138"/>
      <c r="F33" s="89" t="s">
        <v>109</v>
      </c>
      <c r="G33" s="88">
        <f>SUM(G34:G39)</f>
        <v>77462312</v>
      </c>
    </row>
    <row r="34" spans="2:7">
      <c r="B34" s="5" t="s">
        <v>110</v>
      </c>
      <c r="C34" s="78" t="s">
        <v>111</v>
      </c>
      <c r="D34" s="79">
        <f>2243604+458278</f>
        <v>2701882</v>
      </c>
      <c r="E34" s="138" t="s">
        <v>112</v>
      </c>
      <c r="F34" s="78" t="s">
        <v>113</v>
      </c>
      <c r="G34" s="79">
        <v>5241558</v>
      </c>
    </row>
    <row r="35" spans="2:7" ht="16.5" thickBot="1">
      <c r="B35" s="5"/>
      <c r="C35" s="85" t="s">
        <v>114</v>
      </c>
      <c r="D35" s="86">
        <f>+D21+D29</f>
        <v>94560773</v>
      </c>
      <c r="E35" s="138" t="s">
        <v>115</v>
      </c>
      <c r="F35" s="78" t="s">
        <v>116</v>
      </c>
      <c r="G35" s="79">
        <v>1049909</v>
      </c>
    </row>
    <row r="36" spans="2:7">
      <c r="B36" s="5" t="s">
        <v>117</v>
      </c>
      <c r="C36" s="78" t="s">
        <v>118</v>
      </c>
      <c r="D36" s="79">
        <f>17403573+2811801+132964+408</f>
        <v>20348746</v>
      </c>
      <c r="E36" s="138" t="s">
        <v>119</v>
      </c>
      <c r="F36" s="78" t="s">
        <v>517</v>
      </c>
      <c r="G36" s="79">
        <v>1239104</v>
      </c>
    </row>
    <row r="37" spans="2:7">
      <c r="B37" s="5" t="s">
        <v>120</v>
      </c>
      <c r="C37" s="78" t="s">
        <v>121</v>
      </c>
      <c r="D37" s="79">
        <v>299537</v>
      </c>
      <c r="E37" s="138" t="s">
        <v>122</v>
      </c>
      <c r="F37" s="78" t="s">
        <v>123</v>
      </c>
      <c r="G37" s="79">
        <v>4079451</v>
      </c>
    </row>
    <row r="38" spans="2:7">
      <c r="B38" s="5" t="s">
        <v>124</v>
      </c>
      <c r="C38" s="78" t="s">
        <v>125</v>
      </c>
      <c r="D38" s="79">
        <v>0</v>
      </c>
      <c r="E38" s="138" t="s">
        <v>126</v>
      </c>
      <c r="F38" s="78" t="s">
        <v>127</v>
      </c>
      <c r="G38" s="79">
        <v>8176045</v>
      </c>
    </row>
    <row r="39" spans="2:7">
      <c r="B39" s="5" t="s">
        <v>128</v>
      </c>
      <c r="C39" s="78" t="s">
        <v>129</v>
      </c>
      <c r="D39" s="79">
        <v>0</v>
      </c>
      <c r="E39" s="138" t="s">
        <v>130</v>
      </c>
      <c r="F39" s="78" t="s">
        <v>131</v>
      </c>
      <c r="G39" s="79">
        <f>44994725+12681520</f>
        <v>57676245</v>
      </c>
    </row>
    <row r="40" spans="2:7">
      <c r="B40" s="5" t="s">
        <v>132</v>
      </c>
      <c r="C40" s="78" t="s">
        <v>133</v>
      </c>
      <c r="D40" s="79">
        <v>248129</v>
      </c>
      <c r="E40" s="138"/>
      <c r="F40" s="90" t="s">
        <v>134</v>
      </c>
      <c r="G40" s="91">
        <f>SUM(G41:G46)</f>
        <v>26007828</v>
      </c>
    </row>
    <row r="41" spans="2:7">
      <c r="B41" s="5" t="s">
        <v>135</v>
      </c>
      <c r="C41" s="78" t="s">
        <v>136</v>
      </c>
      <c r="D41" s="79">
        <v>0</v>
      </c>
      <c r="E41" s="138" t="s">
        <v>137</v>
      </c>
      <c r="F41" s="78" t="s">
        <v>138</v>
      </c>
      <c r="G41" s="79">
        <v>1219972</v>
      </c>
    </row>
    <row r="42" spans="2:7">
      <c r="B42" s="5" t="s">
        <v>139</v>
      </c>
      <c r="C42" s="78" t="s">
        <v>140</v>
      </c>
      <c r="D42" s="79">
        <f>1487+10360+11119+3774098+4913588+117</f>
        <v>8710769</v>
      </c>
      <c r="E42" s="138" t="s">
        <v>141</v>
      </c>
      <c r="F42" s="78" t="s">
        <v>142</v>
      </c>
      <c r="G42" s="79">
        <v>36753</v>
      </c>
    </row>
    <row r="43" spans="2:7">
      <c r="B43" s="5" t="s">
        <v>143</v>
      </c>
      <c r="C43" s="78" t="s">
        <v>144</v>
      </c>
      <c r="D43" s="79">
        <v>0</v>
      </c>
      <c r="E43" s="138" t="s">
        <v>145</v>
      </c>
      <c r="F43" s="78" t="s">
        <v>146</v>
      </c>
      <c r="G43" s="79">
        <v>1878383</v>
      </c>
    </row>
    <row r="44" spans="2:7">
      <c r="B44" s="5" t="s">
        <v>147</v>
      </c>
      <c r="C44" s="78" t="s">
        <v>148</v>
      </c>
      <c r="D44" s="79">
        <v>1038</v>
      </c>
      <c r="E44" s="138" t="s">
        <v>149</v>
      </c>
      <c r="F44" s="78" t="s">
        <v>150</v>
      </c>
      <c r="G44" s="79">
        <v>1549594</v>
      </c>
    </row>
    <row r="45" spans="2:7">
      <c r="B45" s="5" t="s">
        <v>151</v>
      </c>
      <c r="C45" s="78" t="s">
        <v>152</v>
      </c>
      <c r="D45" s="79">
        <f>13894229+4335135+162616</f>
        <v>18391980</v>
      </c>
      <c r="E45" s="138" t="s">
        <v>153</v>
      </c>
      <c r="F45" s="78" t="s">
        <v>154</v>
      </c>
      <c r="G45" s="79">
        <v>648601</v>
      </c>
    </row>
    <row r="46" spans="2:7">
      <c r="B46" s="5" t="s">
        <v>155</v>
      </c>
      <c r="C46" s="78" t="s">
        <v>156</v>
      </c>
      <c r="D46" s="79">
        <f>1678056+644370</f>
        <v>2322426</v>
      </c>
      <c r="E46" s="138" t="s">
        <v>157</v>
      </c>
      <c r="F46" s="78" t="s">
        <v>158</v>
      </c>
      <c r="G46" s="79">
        <f>20661847+12678</f>
        <v>20674525</v>
      </c>
    </row>
    <row r="47" spans="2:7" ht="16.5" thickBot="1">
      <c r="B47" s="5"/>
      <c r="C47" s="85" t="s">
        <v>159</v>
      </c>
      <c r="D47" s="86">
        <f>SUM(D36:D46)</f>
        <v>50322625</v>
      </c>
      <c r="E47" s="138" t="s">
        <v>160</v>
      </c>
      <c r="F47" s="78" t="s">
        <v>161</v>
      </c>
      <c r="G47" s="84">
        <f>3109986+434904</f>
        <v>3544890</v>
      </c>
    </row>
    <row r="48" spans="2:7" ht="16.5" thickBot="1">
      <c r="B48" s="5"/>
      <c r="C48" s="92" t="s">
        <v>162</v>
      </c>
      <c r="D48" s="93"/>
      <c r="E48" s="138"/>
      <c r="F48" s="85" t="s">
        <v>163</v>
      </c>
      <c r="G48" s="94">
        <f>+G33+G40+G47</f>
        <v>107015030</v>
      </c>
    </row>
    <row r="49" spans="2:7">
      <c r="B49" s="5" t="s">
        <v>164</v>
      </c>
      <c r="C49" s="95" t="s">
        <v>165</v>
      </c>
      <c r="D49" s="96">
        <v>0</v>
      </c>
      <c r="E49" s="138" t="s">
        <v>166</v>
      </c>
      <c r="F49" s="80" t="s">
        <v>167</v>
      </c>
      <c r="G49" s="81">
        <f>4818151+4315265-3200146</f>
        <v>5933270</v>
      </c>
    </row>
    <row r="50" spans="2:7">
      <c r="B50" s="5" t="s">
        <v>168</v>
      </c>
      <c r="C50" s="78" t="s">
        <v>162</v>
      </c>
      <c r="D50" s="79">
        <f>775734+896942+7147189</f>
        <v>8819865</v>
      </c>
      <c r="E50" s="138" t="s">
        <v>169</v>
      </c>
      <c r="F50" s="78" t="s">
        <v>170</v>
      </c>
      <c r="G50" s="79">
        <f>31076327+3888218</f>
        <v>34964545</v>
      </c>
    </row>
    <row r="51" spans="2:7">
      <c r="B51" s="5" t="s">
        <v>171</v>
      </c>
      <c r="C51" s="78" t="s">
        <v>172</v>
      </c>
      <c r="D51" s="84">
        <f>26577+275592</f>
        <v>302169</v>
      </c>
      <c r="E51" s="138" t="s">
        <v>173</v>
      </c>
      <c r="F51" s="78" t="s">
        <v>174</v>
      </c>
      <c r="G51" s="79">
        <f>1855985+1286</f>
        <v>1857271</v>
      </c>
    </row>
    <row r="52" spans="2:7" ht="16.5" thickBot="1">
      <c r="B52" s="11"/>
      <c r="C52" s="85" t="s">
        <v>175</v>
      </c>
      <c r="D52" s="86">
        <f>SUM(D49:D51)</f>
        <v>9122034</v>
      </c>
      <c r="E52" s="138" t="s">
        <v>176</v>
      </c>
      <c r="F52" s="78" t="s">
        <v>177</v>
      </c>
      <c r="G52" s="79">
        <f>1228244+1022504</f>
        <v>2250748</v>
      </c>
    </row>
    <row r="53" spans="2:7" ht="16.5" thickBot="1">
      <c r="B53" s="5"/>
      <c r="C53" s="75" t="s">
        <v>178</v>
      </c>
      <c r="D53" s="97">
        <f>D20+D35+D47+D52</f>
        <v>1543964423</v>
      </c>
      <c r="E53" s="138" t="s">
        <v>179</v>
      </c>
      <c r="F53" s="78" t="s">
        <v>180</v>
      </c>
      <c r="G53" s="79">
        <f>3424220+1682559</f>
        <v>5106779</v>
      </c>
    </row>
    <row r="54" spans="2:7">
      <c r="C54" s="98"/>
      <c r="D54" s="99"/>
      <c r="E54" s="138" t="s">
        <v>181</v>
      </c>
      <c r="F54" s="78" t="s">
        <v>182</v>
      </c>
      <c r="G54" s="79">
        <f>2094586+142858</f>
        <v>2237444</v>
      </c>
    </row>
    <row r="55" spans="2:7">
      <c r="C55" s="100" t="s">
        <v>183</v>
      </c>
      <c r="D55" s="101"/>
      <c r="E55" s="138" t="s">
        <v>184</v>
      </c>
      <c r="F55" s="78" t="s">
        <v>185</v>
      </c>
      <c r="G55" s="79">
        <v>701</v>
      </c>
    </row>
    <row r="56" spans="2:7">
      <c r="B56" s="5" t="s">
        <v>186</v>
      </c>
      <c r="C56" s="102" t="s">
        <v>187</v>
      </c>
      <c r="D56" s="79"/>
      <c r="E56" s="138" t="s">
        <v>188</v>
      </c>
      <c r="F56" s="78" t="s">
        <v>189</v>
      </c>
      <c r="G56" s="84">
        <f>1524510+378665</f>
        <v>1903175</v>
      </c>
    </row>
    <row r="57" spans="2:7" ht="14.25" customHeight="1" thickBot="1">
      <c r="B57" s="5" t="s">
        <v>190</v>
      </c>
      <c r="C57" s="102" t="s">
        <v>191</v>
      </c>
      <c r="D57" s="79"/>
      <c r="E57" s="138"/>
      <c r="F57" s="85" t="s">
        <v>192</v>
      </c>
      <c r="G57" s="86">
        <f>SUM(G49:G56)</f>
        <v>54253933</v>
      </c>
    </row>
    <row r="58" spans="2:7">
      <c r="B58" s="5" t="s">
        <v>193</v>
      </c>
      <c r="C58" s="102" t="s">
        <v>194</v>
      </c>
      <c r="D58" s="79"/>
      <c r="E58" s="138" t="s">
        <v>195</v>
      </c>
      <c r="F58" s="80" t="s">
        <v>196</v>
      </c>
      <c r="G58" s="81">
        <f>6033572+568180</f>
        <v>6601752</v>
      </c>
    </row>
    <row r="59" spans="2:7">
      <c r="B59" s="5" t="s">
        <v>197</v>
      </c>
      <c r="C59" s="78" t="s">
        <v>198</v>
      </c>
      <c r="D59" s="84"/>
      <c r="E59" s="138" t="s">
        <v>199</v>
      </c>
      <c r="F59" s="78" t="s">
        <v>200</v>
      </c>
      <c r="G59" s="79">
        <f>12839543+16051256-8502121</f>
        <v>20388678</v>
      </c>
    </row>
    <row r="60" spans="2:7" ht="16.5" thickBot="1">
      <c r="B60" s="5"/>
      <c r="C60" s="85" t="s">
        <v>201</v>
      </c>
      <c r="D60" s="86">
        <f>SUM(D56:D59)</f>
        <v>0</v>
      </c>
      <c r="E60" s="138" t="s">
        <v>202</v>
      </c>
      <c r="F60" s="78" t="s">
        <v>203</v>
      </c>
      <c r="G60" s="79">
        <f>4120154+8295092-8295092</f>
        <v>4120154</v>
      </c>
    </row>
    <row r="61" spans="2:7" ht="16.5" thickBot="1">
      <c r="B61" s="15"/>
      <c r="C61" s="72" t="s">
        <v>204</v>
      </c>
      <c r="D61" s="103">
        <f>D53+D60</f>
        <v>1543964423</v>
      </c>
      <c r="E61" s="138" t="s">
        <v>205</v>
      </c>
      <c r="F61" s="78" t="s">
        <v>206</v>
      </c>
      <c r="G61" s="79">
        <f>4673538+633029</f>
        <v>5306567</v>
      </c>
    </row>
    <row r="62" spans="2:7">
      <c r="B62" s="16"/>
      <c r="C62" s="116"/>
      <c r="D62" s="116"/>
      <c r="E62" s="138" t="s">
        <v>207</v>
      </c>
      <c r="F62" s="78" t="s">
        <v>208</v>
      </c>
      <c r="G62" s="79">
        <v>0</v>
      </c>
    </row>
    <row r="63" spans="2:7">
      <c r="B63" s="17"/>
      <c r="C63" s="222" t="s">
        <v>8</v>
      </c>
      <c r="D63" s="222"/>
      <c r="E63" s="138" t="s">
        <v>209</v>
      </c>
      <c r="F63" s="78" t="s">
        <v>210</v>
      </c>
      <c r="G63" s="79">
        <f>17873903+181956+3200146</f>
        <v>21256005</v>
      </c>
    </row>
    <row r="64" spans="2:7">
      <c r="B64" s="18" t="s">
        <v>211</v>
      </c>
      <c r="C64" s="223" t="s">
        <v>212</v>
      </c>
      <c r="D64" s="223">
        <f>[35]Amortizaciones!D6</f>
        <v>14330721</v>
      </c>
      <c r="E64" s="138" t="s">
        <v>213</v>
      </c>
      <c r="F64" s="78" t="s">
        <v>214</v>
      </c>
      <c r="G64" s="79">
        <v>994230</v>
      </c>
    </row>
    <row r="65" spans="2:7">
      <c r="B65" s="18" t="s">
        <v>215</v>
      </c>
      <c r="C65" s="223" t="s">
        <v>216</v>
      </c>
      <c r="D65" s="223">
        <f>[35]Amortizaciones!D7</f>
        <v>0</v>
      </c>
      <c r="E65" s="138" t="s">
        <v>217</v>
      </c>
      <c r="F65" s="78" t="s">
        <v>218</v>
      </c>
      <c r="G65" s="79">
        <f>1393716-791094-595611</f>
        <v>7011</v>
      </c>
    </row>
    <row r="66" spans="2:7">
      <c r="B66" s="18" t="s">
        <v>219</v>
      </c>
      <c r="C66" s="223" t="s">
        <v>220</v>
      </c>
      <c r="D66" s="223">
        <f>[35]Amortizaciones!D8</f>
        <v>5785878</v>
      </c>
      <c r="E66" s="138" t="s">
        <v>221</v>
      </c>
      <c r="F66" s="78" t="s">
        <v>222</v>
      </c>
      <c r="G66" s="79">
        <f>5626987+620651</f>
        <v>6247638</v>
      </c>
    </row>
    <row r="67" spans="2:7">
      <c r="B67" s="18" t="s">
        <v>223</v>
      </c>
      <c r="C67" s="223" t="s">
        <v>224</v>
      </c>
      <c r="D67" s="223">
        <f>[35]Amortizaciones!D9</f>
        <v>0</v>
      </c>
      <c r="E67" s="138" t="s">
        <v>225</v>
      </c>
      <c r="F67" s="78" t="s">
        <v>226</v>
      </c>
      <c r="G67" s="79">
        <f>788072+1307401-1319138</f>
        <v>776335</v>
      </c>
    </row>
    <row r="68" spans="2:7">
      <c r="B68" s="18" t="s">
        <v>227</v>
      </c>
      <c r="C68" s="223" t="s">
        <v>228</v>
      </c>
      <c r="D68" s="223">
        <f>[35]Amortizaciones!D10</f>
        <v>164195</v>
      </c>
      <c r="E68" s="138" t="s">
        <v>229</v>
      </c>
      <c r="F68" s="78" t="s">
        <v>230</v>
      </c>
      <c r="G68" s="79">
        <v>111870</v>
      </c>
    </row>
    <row r="69" spans="2:7">
      <c r="B69" s="18" t="s">
        <v>231</v>
      </c>
      <c r="C69" s="223" t="s">
        <v>232</v>
      </c>
      <c r="D69" s="223">
        <f>[35]Amortizaciones!D11</f>
        <v>3946798</v>
      </c>
      <c r="E69" s="138" t="s">
        <v>233</v>
      </c>
      <c r="F69" s="78" t="s">
        <v>234</v>
      </c>
      <c r="G69" s="79">
        <f>3956205+192162</f>
        <v>4148367</v>
      </c>
    </row>
    <row r="70" spans="2:7">
      <c r="B70" s="18" t="s">
        <v>235</v>
      </c>
      <c r="C70" s="223" t="s">
        <v>236</v>
      </c>
      <c r="D70" s="223">
        <f>[35]Amortizaciones!D12</f>
        <v>880133</v>
      </c>
      <c r="E70" s="138" t="s">
        <v>237</v>
      </c>
      <c r="F70" s="78" t="s">
        <v>238</v>
      </c>
      <c r="G70" s="79">
        <f>164882-113952</f>
        <v>50930</v>
      </c>
    </row>
    <row r="71" spans="2:7">
      <c r="B71" s="18" t="s">
        <v>239</v>
      </c>
      <c r="C71" s="223" t="s">
        <v>240</v>
      </c>
      <c r="D71" s="223">
        <f>[35]Amortizaciones!D13</f>
        <v>425549</v>
      </c>
      <c r="E71" s="138" t="s">
        <v>241</v>
      </c>
      <c r="F71" s="78" t="s">
        <v>242</v>
      </c>
      <c r="G71" s="79">
        <v>246247</v>
      </c>
    </row>
    <row r="72" spans="2:7">
      <c r="B72" s="18" t="s">
        <v>243</v>
      </c>
      <c r="C72" s="223" t="s">
        <v>244</v>
      </c>
      <c r="D72" s="223">
        <f>[35]Amortizaciones!D14</f>
        <v>2053164</v>
      </c>
      <c r="E72" s="138" t="s">
        <v>245</v>
      </c>
      <c r="F72" s="78" t="s">
        <v>246</v>
      </c>
      <c r="G72" s="79">
        <v>5371939</v>
      </c>
    </row>
    <row r="73" spans="2:7">
      <c r="B73" s="18" t="s">
        <v>247</v>
      </c>
      <c r="C73" s="223" t="s">
        <v>248</v>
      </c>
      <c r="D73" s="223">
        <f>[35]Amortizaciones!D15</f>
        <v>0</v>
      </c>
      <c r="E73" s="138" t="s">
        <v>249</v>
      </c>
      <c r="F73" s="78" t="s">
        <v>250</v>
      </c>
      <c r="G73" s="79">
        <v>1757276</v>
      </c>
    </row>
    <row r="74" spans="2:7">
      <c r="B74" s="18" t="s">
        <v>251</v>
      </c>
      <c r="C74" s="223" t="s">
        <v>252</v>
      </c>
      <c r="D74" s="223">
        <f>[35]Amortizaciones!D16</f>
        <v>1974266</v>
      </c>
      <c r="E74" s="138" t="s">
        <v>253</v>
      </c>
      <c r="F74" s="78" t="s">
        <v>254</v>
      </c>
      <c r="G74" s="79">
        <v>0</v>
      </c>
    </row>
    <row r="75" spans="2:7">
      <c r="B75" s="18" t="s">
        <v>255</v>
      </c>
      <c r="C75" s="223" t="s">
        <v>256</v>
      </c>
      <c r="D75" s="223">
        <f>[35]Amortizaciones!D17</f>
        <v>0</v>
      </c>
      <c r="E75" s="138" t="s">
        <v>257</v>
      </c>
      <c r="F75" s="78" t="s">
        <v>258</v>
      </c>
      <c r="G75" s="79">
        <f>7016227+12907-4450</f>
        <v>7024684</v>
      </c>
    </row>
    <row r="76" spans="2:7">
      <c r="B76" s="18" t="s">
        <v>259</v>
      </c>
      <c r="C76" s="223" t="s">
        <v>260</v>
      </c>
      <c r="D76" s="223">
        <f>[35]Amortizaciones!D18</f>
        <v>0</v>
      </c>
      <c r="E76" s="138" t="s">
        <v>261</v>
      </c>
      <c r="F76" s="78" t="s">
        <v>262</v>
      </c>
      <c r="G76" s="79">
        <f>13910400+9246880</f>
        <v>23157280</v>
      </c>
    </row>
    <row r="77" spans="2:7">
      <c r="B77" s="18" t="s">
        <v>263</v>
      </c>
      <c r="C77" s="223" t="s">
        <v>264</v>
      </c>
      <c r="D77" s="223">
        <f>SUM(D64:D76)</f>
        <v>29560704</v>
      </c>
      <c r="E77" s="138" t="s">
        <v>265</v>
      </c>
      <c r="F77" s="78" t="s">
        <v>266</v>
      </c>
      <c r="G77" s="79">
        <f>144658+2770964+5421033-10188-10924</f>
        <v>8315543</v>
      </c>
    </row>
    <row r="78" spans="2:7">
      <c r="B78" s="18"/>
      <c r="C78" s="223"/>
      <c r="D78" s="223"/>
      <c r="E78" s="138" t="s">
        <v>267</v>
      </c>
      <c r="F78" s="78" t="s">
        <v>268</v>
      </c>
      <c r="G78" s="84">
        <f>3022960+1510495</f>
        <v>4533455</v>
      </c>
    </row>
    <row r="79" spans="2:7" ht="16.5" thickBot="1">
      <c r="B79" s="18"/>
      <c r="C79" s="222" t="s">
        <v>269</v>
      </c>
      <c r="D79" s="224"/>
      <c r="E79" s="138"/>
      <c r="F79" s="85" t="s">
        <v>270</v>
      </c>
      <c r="G79" s="86">
        <f>SUM(G58:G78)</f>
        <v>120415961</v>
      </c>
    </row>
    <row r="80" spans="2:7">
      <c r="B80" s="18" t="s">
        <v>271</v>
      </c>
      <c r="C80" s="223" t="s">
        <v>236</v>
      </c>
      <c r="D80" s="223">
        <f>[35]Amortizaciones!D22</f>
        <v>0</v>
      </c>
      <c r="E80" s="138" t="s">
        <v>272</v>
      </c>
      <c r="F80" s="80" t="s">
        <v>273</v>
      </c>
      <c r="G80" s="81">
        <f>556578+41646</f>
        <v>598224</v>
      </c>
    </row>
    <row r="81" spans="2:7">
      <c r="B81" s="18" t="s">
        <v>274</v>
      </c>
      <c r="C81" s="223" t="s">
        <v>240</v>
      </c>
      <c r="D81" s="223">
        <f>[35]Amortizaciones!D23</f>
        <v>0</v>
      </c>
      <c r="E81" s="138" t="s">
        <v>275</v>
      </c>
      <c r="F81" s="78" t="s">
        <v>276</v>
      </c>
      <c r="G81" s="79">
        <f>6950046+681071</f>
        <v>7631117</v>
      </c>
    </row>
    <row r="82" spans="2:7">
      <c r="B82" s="18" t="s">
        <v>277</v>
      </c>
      <c r="C82" s="223" t="s">
        <v>244</v>
      </c>
      <c r="D82" s="223">
        <f>[35]Amortizaciones!D24</f>
        <v>0</v>
      </c>
      <c r="E82" s="138" t="s">
        <v>278</v>
      </c>
      <c r="F82" s="78" t="s">
        <v>279</v>
      </c>
      <c r="G82" s="79">
        <f>1832072+27987</f>
        <v>1860059</v>
      </c>
    </row>
    <row r="83" spans="2:7">
      <c r="B83" s="18" t="s">
        <v>280</v>
      </c>
      <c r="C83" s="223" t="s">
        <v>248</v>
      </c>
      <c r="D83" s="223">
        <f>[35]Amortizaciones!D25</f>
        <v>0</v>
      </c>
      <c r="E83" s="138" t="s">
        <v>281</v>
      </c>
      <c r="F83" s="78" t="s">
        <v>282</v>
      </c>
      <c r="G83" s="79">
        <f>1036533+462313</f>
        <v>1498846</v>
      </c>
    </row>
    <row r="84" spans="2:7">
      <c r="B84" s="18" t="s">
        <v>283</v>
      </c>
      <c r="C84" s="223" t="s">
        <v>284</v>
      </c>
      <c r="D84" s="223">
        <v>0</v>
      </c>
      <c r="E84" s="138" t="s">
        <v>285</v>
      </c>
      <c r="F84" s="78" t="s">
        <v>286</v>
      </c>
      <c r="G84" s="79">
        <f>6420395+829644</f>
        <v>7250039</v>
      </c>
    </row>
    <row r="85" spans="2:7">
      <c r="B85" s="18" t="s">
        <v>287</v>
      </c>
      <c r="C85" s="223" t="s">
        <v>288</v>
      </c>
      <c r="D85" s="223">
        <f>[35]Amortizaciones!D27</f>
        <v>0</v>
      </c>
      <c r="E85" s="138" t="s">
        <v>289</v>
      </c>
      <c r="F85" s="78" t="s">
        <v>290</v>
      </c>
      <c r="G85" s="79">
        <f>1057084+62563</f>
        <v>1119647</v>
      </c>
    </row>
    <row r="86" spans="2:7" ht="13.5" customHeight="1">
      <c r="B86" s="18" t="s">
        <v>291</v>
      </c>
      <c r="C86" s="223" t="s">
        <v>292</v>
      </c>
      <c r="D86" s="223">
        <f>[35]Amortizaciones!D28</f>
        <v>0</v>
      </c>
      <c r="E86" s="138" t="s">
        <v>293</v>
      </c>
      <c r="F86" s="78" t="s">
        <v>294</v>
      </c>
      <c r="G86" s="79">
        <f>229783+5913</f>
        <v>235696</v>
      </c>
    </row>
    <row r="87" spans="2:7" ht="13.5" customHeight="1">
      <c r="B87" s="18" t="s">
        <v>295</v>
      </c>
      <c r="C87" s="223" t="s">
        <v>296</v>
      </c>
      <c r="D87" s="223">
        <f>[35]Amortizaciones!D29</f>
        <v>0</v>
      </c>
      <c r="E87" s="138" t="s">
        <v>297</v>
      </c>
      <c r="F87" s="78" t="s">
        <v>298</v>
      </c>
      <c r="G87" s="79">
        <v>2435003</v>
      </c>
    </row>
    <row r="88" spans="2:7" ht="13.5" customHeight="1">
      <c r="B88" s="18" t="s">
        <v>299</v>
      </c>
      <c r="C88" s="223" t="s">
        <v>300</v>
      </c>
      <c r="D88" s="223">
        <f>[35]Amortizaciones!D30</f>
        <v>0</v>
      </c>
      <c r="E88" s="138" t="s">
        <v>301</v>
      </c>
      <c r="F88" s="78" t="s">
        <v>302</v>
      </c>
      <c r="G88" s="79">
        <v>3728654</v>
      </c>
    </row>
    <row r="89" spans="2:7">
      <c r="B89" s="18" t="s">
        <v>303</v>
      </c>
      <c r="C89" s="223" t="s">
        <v>212</v>
      </c>
      <c r="D89" s="223">
        <f>[35]Amortizaciones!D31</f>
        <v>0</v>
      </c>
      <c r="E89" s="138" t="s">
        <v>304</v>
      </c>
      <c r="F89" s="78" t="s">
        <v>305</v>
      </c>
      <c r="G89" s="79">
        <v>3600895</v>
      </c>
    </row>
    <row r="90" spans="2:7" ht="14.25" customHeight="1">
      <c r="B90" s="18" t="s">
        <v>306</v>
      </c>
      <c r="C90" s="223" t="s">
        <v>228</v>
      </c>
      <c r="D90" s="223">
        <f>[35]Amortizaciones!D32</f>
        <v>0</v>
      </c>
      <c r="E90" s="138" t="s">
        <v>307</v>
      </c>
      <c r="F90" s="78" t="s">
        <v>308</v>
      </c>
      <c r="G90" s="79">
        <v>6243558</v>
      </c>
    </row>
    <row r="91" spans="2:7" ht="14.25" customHeight="1">
      <c r="B91" s="18" t="s">
        <v>309</v>
      </c>
      <c r="C91" s="223" t="s">
        <v>310</v>
      </c>
      <c r="D91" s="223">
        <f>SUM(D80:D90)</f>
        <v>0</v>
      </c>
      <c r="E91" s="225" t="s">
        <v>311</v>
      </c>
      <c r="F91" s="78" t="s">
        <v>312</v>
      </c>
      <c r="G91" s="79">
        <f>488960+120000</f>
        <v>608960</v>
      </c>
    </row>
    <row r="92" spans="2:7" ht="14.25" customHeight="1">
      <c r="B92" s="18"/>
      <c r="C92" s="226" t="s">
        <v>313</v>
      </c>
      <c r="D92" s="223">
        <f>D77+D91</f>
        <v>29560704</v>
      </c>
      <c r="E92" s="225" t="s">
        <v>314</v>
      </c>
      <c r="F92" s="78" t="s">
        <v>315</v>
      </c>
      <c r="G92" s="79">
        <v>0</v>
      </c>
    </row>
    <row r="93" spans="2:7">
      <c r="C93" s="116"/>
      <c r="D93" s="116"/>
      <c r="E93" s="225" t="s">
        <v>316</v>
      </c>
      <c r="F93" s="78" t="s">
        <v>317</v>
      </c>
      <c r="G93" s="79">
        <f>1128720+873584</f>
        <v>2002304</v>
      </c>
    </row>
    <row r="94" spans="2:7">
      <c r="C94" s="116"/>
      <c r="D94" s="116"/>
      <c r="E94" s="225" t="s">
        <v>318</v>
      </c>
      <c r="F94" s="78" t="s">
        <v>319</v>
      </c>
      <c r="G94" s="84">
        <f>1139943+189791</f>
        <v>1329734</v>
      </c>
    </row>
    <row r="95" spans="2:7" ht="13.5" customHeight="1" thickBot="1">
      <c r="C95" s="116"/>
      <c r="D95" s="116"/>
      <c r="E95" s="138"/>
      <c r="F95" s="85" t="s">
        <v>320</v>
      </c>
      <c r="G95" s="86">
        <f>SUM(G80:G94)</f>
        <v>40142736</v>
      </c>
    </row>
    <row r="96" spans="2:7">
      <c r="C96" s="116"/>
      <c r="D96" s="116"/>
      <c r="E96" s="225" t="s">
        <v>321</v>
      </c>
      <c r="F96" s="80" t="s">
        <v>322</v>
      </c>
      <c r="G96" s="81">
        <f>599967+593244</f>
        <v>1193211</v>
      </c>
    </row>
    <row r="97" spans="2:7">
      <c r="C97" s="116"/>
      <c r="D97" s="116"/>
      <c r="E97" s="225" t="s">
        <v>323</v>
      </c>
      <c r="F97" s="78" t="s">
        <v>324</v>
      </c>
      <c r="G97" s="79">
        <f>1689158+140095</f>
        <v>1829253</v>
      </c>
    </row>
    <row r="98" spans="2:7">
      <c r="C98" s="116"/>
      <c r="D98" s="116"/>
      <c r="E98" s="225" t="s">
        <v>325</v>
      </c>
      <c r="F98" s="78" t="s">
        <v>326</v>
      </c>
      <c r="G98" s="79">
        <v>8475</v>
      </c>
    </row>
    <row r="99" spans="2:7">
      <c r="C99" s="116"/>
      <c r="D99" s="116"/>
      <c r="E99" s="225" t="s">
        <v>327</v>
      </c>
      <c r="F99" s="78" t="s">
        <v>328</v>
      </c>
      <c r="G99" s="79">
        <f>45438+2098</f>
        <v>47536</v>
      </c>
    </row>
    <row r="100" spans="2:7">
      <c r="C100" s="116"/>
      <c r="D100" s="116"/>
      <c r="E100" s="225" t="s">
        <v>329</v>
      </c>
      <c r="F100" s="78" t="s">
        <v>330</v>
      </c>
      <c r="G100" s="84">
        <f>79982+25486</f>
        <v>105468</v>
      </c>
    </row>
    <row r="101" spans="2:7" ht="12.75" customHeight="1" thickBot="1">
      <c r="C101" s="116"/>
      <c r="D101" s="116"/>
      <c r="E101" s="138"/>
      <c r="F101" s="85" t="s">
        <v>331</v>
      </c>
      <c r="G101" s="86">
        <f>SUM(G96:G100)</f>
        <v>3183943</v>
      </c>
    </row>
    <row r="102" spans="2:7" ht="12.75" customHeight="1" thickBot="1">
      <c r="C102" s="116"/>
      <c r="D102" s="116"/>
      <c r="E102" s="225"/>
      <c r="F102" s="110" t="s">
        <v>332</v>
      </c>
      <c r="G102" s="111">
        <f>[35]Amortizaciones!D19</f>
        <v>29560704</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1271240935</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272723488</v>
      </c>
    </row>
    <row r="110" spans="2:7" ht="6.75" customHeight="1" thickBot="1">
      <c r="B110" s="5"/>
      <c r="C110" s="227"/>
      <c r="D110" s="227"/>
      <c r="E110" s="138"/>
      <c r="F110" s="116"/>
      <c r="G110" s="116"/>
    </row>
    <row r="111" spans="2:7" ht="15" customHeight="1" thickBot="1">
      <c r="C111" s="72" t="s">
        <v>269</v>
      </c>
      <c r="D111" s="118">
        <f>+[35]E.S.P.!D6</f>
        <v>2021</v>
      </c>
      <c r="E111" s="225"/>
      <c r="F111" s="72" t="s">
        <v>340</v>
      </c>
      <c r="G111" s="118">
        <f>+[35]E.S.P.!D6</f>
        <v>2021</v>
      </c>
    </row>
    <row r="112" spans="2:7" ht="13.7" customHeight="1">
      <c r="B112" s="5" t="s">
        <v>341</v>
      </c>
      <c r="C112" s="119" t="s">
        <v>342</v>
      </c>
      <c r="D112" s="120">
        <f>6630979+3335615+1349730</f>
        <v>11316324</v>
      </c>
      <c r="E112" s="138" t="s">
        <v>343</v>
      </c>
      <c r="F112" s="119" t="s">
        <v>308</v>
      </c>
      <c r="G112" s="120">
        <v>0</v>
      </c>
    </row>
    <row r="113" spans="2:7" ht="13.7" customHeight="1">
      <c r="B113" s="5" t="s">
        <v>344</v>
      </c>
      <c r="C113" s="121" t="s">
        <v>345</v>
      </c>
      <c r="D113" s="122">
        <f>82421992+10665096+16776930</f>
        <v>109864018</v>
      </c>
      <c r="E113" s="138" t="s">
        <v>346</v>
      </c>
      <c r="F113" s="121" t="s">
        <v>347</v>
      </c>
      <c r="G113" s="122">
        <v>0</v>
      </c>
    </row>
    <row r="114" spans="2:7" ht="13.7" customHeight="1">
      <c r="B114" s="5" t="s">
        <v>348</v>
      </c>
      <c r="C114" s="121" t="s">
        <v>48</v>
      </c>
      <c r="D114" s="122">
        <f>2900552+590405</f>
        <v>3490957</v>
      </c>
      <c r="E114" s="138" t="s">
        <v>349</v>
      </c>
      <c r="F114" s="121" t="s">
        <v>350</v>
      </c>
      <c r="G114" s="122">
        <v>0</v>
      </c>
    </row>
    <row r="115" spans="2:7" ht="13.7" customHeight="1">
      <c r="B115" s="5" t="s">
        <v>351</v>
      </c>
      <c r="C115" s="121" t="s">
        <v>352</v>
      </c>
      <c r="D115" s="122">
        <v>0</v>
      </c>
      <c r="E115" s="138" t="s">
        <v>353</v>
      </c>
      <c r="F115" s="121" t="s">
        <v>354</v>
      </c>
      <c r="G115" s="122">
        <v>18732</v>
      </c>
    </row>
    <row r="116" spans="2:7" ht="13.7" customHeight="1">
      <c r="B116" s="5" t="s">
        <v>355</v>
      </c>
      <c r="C116" s="121" t="s">
        <v>356</v>
      </c>
      <c r="D116" s="122">
        <f>4340996+628503</f>
        <v>4969499</v>
      </c>
      <c r="E116" s="138" t="s">
        <v>357</v>
      </c>
      <c r="F116" s="121" t="s">
        <v>358</v>
      </c>
      <c r="G116" s="122">
        <f>582651-125851</f>
        <v>456800</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0</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f>3940300+501197</f>
        <v>4441497</v>
      </c>
      <c r="E121" s="138" t="s">
        <v>377</v>
      </c>
      <c r="F121" s="121" t="s">
        <v>378</v>
      </c>
      <c r="G121" s="122">
        <f>119870+4814991+125851-5060712</f>
        <v>0</v>
      </c>
    </row>
    <row r="122" spans="2:7" ht="13.7" customHeight="1" thickBot="1">
      <c r="B122" s="5"/>
      <c r="C122" s="85" t="s">
        <v>379</v>
      </c>
      <c r="D122" s="94">
        <f>SUM(D112:D121)</f>
        <v>134082295</v>
      </c>
      <c r="E122" s="138" t="s">
        <v>380</v>
      </c>
      <c r="F122" s="78" t="s">
        <v>381</v>
      </c>
      <c r="G122" s="79">
        <f>7760614+1653938</f>
        <v>9414552</v>
      </c>
    </row>
    <row r="123" spans="2:7" ht="13.7" customHeight="1" thickBot="1">
      <c r="B123" s="5" t="s">
        <v>382</v>
      </c>
      <c r="C123" s="123" t="s">
        <v>308</v>
      </c>
      <c r="D123" s="120">
        <v>109767</v>
      </c>
      <c r="E123" s="225"/>
      <c r="F123" s="85" t="s">
        <v>383</v>
      </c>
      <c r="G123" s="94">
        <f>SUM(G112:G122)</f>
        <v>9890084</v>
      </c>
    </row>
    <row r="124" spans="2:7" ht="13.7" customHeight="1">
      <c r="B124" s="5" t="s">
        <v>384</v>
      </c>
      <c r="C124" s="121" t="s">
        <v>312</v>
      </c>
      <c r="D124" s="122">
        <v>103874</v>
      </c>
      <c r="E124" s="138" t="s">
        <v>385</v>
      </c>
      <c r="F124" s="121" t="s">
        <v>386</v>
      </c>
      <c r="G124" s="122">
        <v>333436</v>
      </c>
    </row>
    <row r="125" spans="2:7" ht="13.7" customHeight="1">
      <c r="B125" s="5" t="s">
        <v>387</v>
      </c>
      <c r="C125" s="78" t="s">
        <v>388</v>
      </c>
      <c r="D125" s="122">
        <v>7319</v>
      </c>
      <c r="E125" s="138" t="s">
        <v>389</v>
      </c>
      <c r="F125" s="121" t="s">
        <v>390</v>
      </c>
      <c r="G125" s="122">
        <v>57843</v>
      </c>
    </row>
    <row r="126" spans="2:7" ht="13.7" customHeight="1" thickBot="1">
      <c r="B126" s="5"/>
      <c r="C126" s="85" t="s">
        <v>391</v>
      </c>
      <c r="D126" s="94">
        <f>SUM(D123:D125)</f>
        <v>220960</v>
      </c>
      <c r="E126" s="138" t="s">
        <v>392</v>
      </c>
      <c r="F126" s="121" t="s">
        <v>393</v>
      </c>
      <c r="G126" s="122">
        <v>0</v>
      </c>
    </row>
    <row r="127" spans="2:7" ht="13.7" customHeight="1">
      <c r="B127" s="5" t="s">
        <v>394</v>
      </c>
      <c r="C127" s="119" t="s">
        <v>273</v>
      </c>
      <c r="D127" s="120">
        <f>1824627+3000</f>
        <v>1827627</v>
      </c>
      <c r="E127" s="138" t="s">
        <v>395</v>
      </c>
      <c r="F127" s="121" t="s">
        <v>396</v>
      </c>
      <c r="G127" s="122">
        <v>0</v>
      </c>
    </row>
    <row r="128" spans="2:7" ht="13.7" customHeight="1">
      <c r="B128" s="5" t="s">
        <v>397</v>
      </c>
      <c r="C128" s="121" t="s">
        <v>398</v>
      </c>
      <c r="D128" s="122">
        <f>1353659+247962</f>
        <v>1601621</v>
      </c>
      <c r="E128" s="138" t="s">
        <v>399</v>
      </c>
      <c r="F128" s="121" t="s">
        <v>400</v>
      </c>
      <c r="G128" s="122">
        <v>0</v>
      </c>
    </row>
    <row r="129" spans="2:7" ht="13.7" customHeight="1">
      <c r="B129" s="5" t="s">
        <v>401</v>
      </c>
      <c r="C129" s="121" t="s">
        <v>276</v>
      </c>
      <c r="D129" s="122">
        <f>345992+191823</f>
        <v>537815</v>
      </c>
      <c r="E129" s="138" t="s">
        <v>402</v>
      </c>
      <c r="F129" s="121" t="s">
        <v>403</v>
      </c>
      <c r="G129" s="122">
        <f>611426+421024</f>
        <v>1032450</v>
      </c>
    </row>
    <row r="130" spans="2:7" ht="13.7" customHeight="1">
      <c r="B130" s="5" t="s">
        <v>404</v>
      </c>
      <c r="C130" s="121" t="s">
        <v>282</v>
      </c>
      <c r="D130" s="122">
        <v>225281</v>
      </c>
      <c r="E130" s="138" t="s">
        <v>405</v>
      </c>
      <c r="F130" s="121" t="s">
        <v>406</v>
      </c>
      <c r="G130" s="122">
        <v>0</v>
      </c>
    </row>
    <row r="131" spans="2:7" ht="13.7" customHeight="1">
      <c r="B131" s="5" t="s">
        <v>407</v>
      </c>
      <c r="C131" s="121" t="s">
        <v>286</v>
      </c>
      <c r="D131" s="122">
        <f>5108+18395</f>
        <v>23503</v>
      </c>
      <c r="E131" s="138" t="s">
        <v>408</v>
      </c>
      <c r="F131" s="121" t="s">
        <v>409</v>
      </c>
      <c r="G131" s="122">
        <v>0</v>
      </c>
    </row>
    <row r="132" spans="2:7" ht="13.7" customHeight="1">
      <c r="B132" s="5" t="s">
        <v>410</v>
      </c>
      <c r="C132" s="121" t="s">
        <v>290</v>
      </c>
      <c r="D132" s="122">
        <f>5112129+913202</f>
        <v>6025331</v>
      </c>
      <c r="E132" s="138" t="s">
        <v>411</v>
      </c>
      <c r="F132" s="121" t="s">
        <v>412</v>
      </c>
      <c r="G132" s="122">
        <v>0</v>
      </c>
    </row>
    <row r="133" spans="2:7" ht="13.7" customHeight="1">
      <c r="B133" s="5" t="s">
        <v>413</v>
      </c>
      <c r="C133" s="121" t="s">
        <v>294</v>
      </c>
      <c r="D133" s="122">
        <f>757143+88771</f>
        <v>845914</v>
      </c>
      <c r="E133" s="138" t="s">
        <v>414</v>
      </c>
      <c r="F133" s="121" t="s">
        <v>415</v>
      </c>
      <c r="G133" s="122">
        <v>0</v>
      </c>
    </row>
    <row r="134" spans="2:7" ht="13.7" customHeight="1">
      <c r="B134" s="5" t="s">
        <v>416</v>
      </c>
      <c r="C134" s="121" t="s">
        <v>417</v>
      </c>
      <c r="D134" s="122">
        <f>1388282+143600</f>
        <v>1531882</v>
      </c>
      <c r="E134" s="138" t="s">
        <v>418</v>
      </c>
      <c r="F134" s="121" t="s">
        <v>419</v>
      </c>
      <c r="G134" s="122">
        <v>0</v>
      </c>
    </row>
    <row r="135" spans="2:7" ht="13.7" customHeight="1">
      <c r="B135" s="5" t="s">
        <v>420</v>
      </c>
      <c r="C135" s="121" t="s">
        <v>421</v>
      </c>
      <c r="D135" s="122">
        <f>11193877+2810891</f>
        <v>14004768</v>
      </c>
      <c r="E135" s="138" t="s">
        <v>422</v>
      </c>
      <c r="F135" s="121" t="s">
        <v>423</v>
      </c>
      <c r="G135" s="122">
        <v>0</v>
      </c>
    </row>
    <row r="136" spans="2:7" ht="13.7" customHeight="1">
      <c r="B136" s="5" t="s">
        <v>424</v>
      </c>
      <c r="C136" s="121" t="s">
        <v>317</v>
      </c>
      <c r="D136" s="122">
        <f>202310+316520+5374676+850837+427406+7320318+3062728</f>
        <v>17554795</v>
      </c>
      <c r="E136" s="138" t="s">
        <v>425</v>
      </c>
      <c r="F136" s="121" t="s">
        <v>426</v>
      </c>
      <c r="G136" s="122">
        <v>0</v>
      </c>
    </row>
    <row r="137" spans="2:7" ht="13.7" customHeight="1">
      <c r="B137" s="5" t="s">
        <v>427</v>
      </c>
      <c r="C137" s="78" t="s">
        <v>319</v>
      </c>
      <c r="D137" s="124">
        <f>1257280+256278</f>
        <v>1513558</v>
      </c>
      <c r="E137" s="138" t="s">
        <v>428</v>
      </c>
      <c r="F137" s="121" t="s">
        <v>429</v>
      </c>
      <c r="G137" s="122">
        <f>12303321+59951-148070+4944664+11672-2102213+644744</f>
        <v>15714069</v>
      </c>
    </row>
    <row r="138" spans="2:7" ht="13.7" customHeight="1" thickBot="1">
      <c r="B138" s="5"/>
      <c r="C138" s="85" t="s">
        <v>320</v>
      </c>
      <c r="D138" s="94">
        <f>SUM(D127:D137)</f>
        <v>45692095</v>
      </c>
      <c r="E138" s="138" t="s">
        <v>430</v>
      </c>
      <c r="F138" s="78" t="s">
        <v>431</v>
      </c>
      <c r="G138" s="79">
        <v>620269</v>
      </c>
    </row>
    <row r="139" spans="2:7" ht="13.7" customHeight="1" thickBot="1">
      <c r="B139" s="5" t="s">
        <v>432</v>
      </c>
      <c r="C139" s="119" t="s">
        <v>326</v>
      </c>
      <c r="D139" s="120">
        <v>0</v>
      </c>
      <c r="E139" s="228"/>
      <c r="F139" s="85" t="s">
        <v>433</v>
      </c>
      <c r="G139" s="94">
        <f>SUM(G124:G138)</f>
        <v>17758067</v>
      </c>
    </row>
    <row r="140" spans="2:7" ht="13.7" customHeight="1" thickBot="1">
      <c r="B140" s="5" t="s">
        <v>434</v>
      </c>
      <c r="C140" s="121" t="s">
        <v>328</v>
      </c>
      <c r="D140" s="122">
        <f>2712266+382370+17353</f>
        <v>3111989</v>
      </c>
      <c r="E140" s="228"/>
      <c r="F140" s="110" t="s">
        <v>435</v>
      </c>
      <c r="G140" s="126">
        <f>G123-G139</f>
        <v>-7867983</v>
      </c>
    </row>
    <row r="141" spans="2:7" ht="13.7" customHeight="1">
      <c r="B141" s="5" t="s">
        <v>436</v>
      </c>
      <c r="C141" s="78" t="s">
        <v>330</v>
      </c>
      <c r="D141" s="124">
        <f>106022+595</f>
        <v>106617</v>
      </c>
      <c r="E141" s="229"/>
      <c r="F141" s="116"/>
      <c r="G141" s="116"/>
    </row>
    <row r="142" spans="2:7" ht="13.7" customHeight="1" thickBot="1">
      <c r="B142" s="5"/>
      <c r="C142" s="85" t="s">
        <v>331</v>
      </c>
      <c r="D142" s="94">
        <f>SUM(D139:D141)</f>
        <v>3218606</v>
      </c>
      <c r="E142" s="229"/>
      <c r="F142" s="116"/>
      <c r="G142" s="116"/>
    </row>
    <row r="143" spans="2:7" ht="13.5" customHeight="1" thickBot="1">
      <c r="B143" s="5"/>
      <c r="C143" s="110" t="s">
        <v>332</v>
      </c>
      <c r="D143" s="126">
        <f>[35]Amortizaciones!D33</f>
        <v>0</v>
      </c>
      <c r="E143" s="138"/>
      <c r="F143" s="72" t="s">
        <v>437</v>
      </c>
      <c r="G143" s="118">
        <f>+[35]E.S.P.!D6</f>
        <v>2021</v>
      </c>
    </row>
    <row r="144" spans="2:7" ht="13.7" customHeight="1">
      <c r="B144" s="5" t="s">
        <v>438</v>
      </c>
      <c r="C144" s="119" t="s">
        <v>439</v>
      </c>
      <c r="D144" s="120">
        <f>847060+388710</f>
        <v>1235770</v>
      </c>
      <c r="E144" s="138" t="s">
        <v>440</v>
      </c>
      <c r="F144" s="119" t="s">
        <v>441</v>
      </c>
      <c r="G144" s="120">
        <f>13712+255956</f>
        <v>269668</v>
      </c>
    </row>
    <row r="145" spans="2:7" ht="13.7" customHeight="1">
      <c r="B145" s="5" t="s">
        <v>442</v>
      </c>
      <c r="C145" s="121" t="s">
        <v>443</v>
      </c>
      <c r="D145" s="122">
        <v>98686</v>
      </c>
      <c r="E145" s="138" t="s">
        <v>444</v>
      </c>
      <c r="F145" s="121" t="s">
        <v>445</v>
      </c>
      <c r="G145" s="122">
        <f>86924+212900</f>
        <v>299824</v>
      </c>
    </row>
    <row r="146" spans="2:7" ht="13.7" customHeight="1">
      <c r="B146" s="5" t="s">
        <v>446</v>
      </c>
      <c r="C146" s="128" t="s">
        <v>447</v>
      </c>
      <c r="D146" s="122">
        <v>0</v>
      </c>
      <c r="E146" s="138" t="s">
        <v>448</v>
      </c>
      <c r="F146" s="121" t="s">
        <v>449</v>
      </c>
      <c r="G146" s="122">
        <f>308806+14987</f>
        <v>323793</v>
      </c>
    </row>
    <row r="147" spans="2:7" ht="13.7" customHeight="1">
      <c r="B147" s="5" t="s">
        <v>450</v>
      </c>
      <c r="C147" s="78" t="s">
        <v>451</v>
      </c>
      <c r="D147" s="124">
        <f>32401+13317</f>
        <v>45718</v>
      </c>
      <c r="E147" s="138" t="s">
        <v>452</v>
      </c>
      <c r="F147" s="121" t="s">
        <v>453</v>
      </c>
      <c r="G147" s="122">
        <v>0</v>
      </c>
    </row>
    <row r="148" spans="2:7" ht="13.7" customHeight="1" thickBot="1">
      <c r="B148" s="5"/>
      <c r="C148" s="85" t="s">
        <v>518</v>
      </c>
      <c r="D148" s="94">
        <f>SUM(D144:D147)</f>
        <v>1380174</v>
      </c>
      <c r="E148" s="138" t="s">
        <v>454</v>
      </c>
      <c r="F148" s="121" t="s">
        <v>455</v>
      </c>
      <c r="G148" s="122">
        <v>0</v>
      </c>
    </row>
    <row r="149" spans="2:7" ht="13.7" customHeight="1">
      <c r="B149" s="5" t="s">
        <v>456</v>
      </c>
      <c r="C149" s="119" t="s">
        <v>457</v>
      </c>
      <c r="D149" s="120">
        <v>86039</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2948</v>
      </c>
      <c r="E151" s="138" t="s">
        <v>466</v>
      </c>
      <c r="F151" s="121" t="s">
        <v>467</v>
      </c>
      <c r="G151" s="122">
        <f>17704888+2781193</f>
        <v>20486081</v>
      </c>
    </row>
    <row r="152" spans="2:7" ht="13.7" customHeight="1" thickBot="1">
      <c r="B152" s="5"/>
      <c r="C152" s="85" t="s">
        <v>516</v>
      </c>
      <c r="D152" s="94">
        <f>SUM(D149:D151)</f>
        <v>88987</v>
      </c>
      <c r="E152" s="138" t="s">
        <v>469</v>
      </c>
      <c r="F152" s="121" t="s">
        <v>470</v>
      </c>
      <c r="G152" s="122">
        <f>2071+145</f>
        <v>2216</v>
      </c>
    </row>
    <row r="153" spans="2:7" ht="15" customHeight="1" thickBot="1">
      <c r="B153" s="5"/>
      <c r="C153" s="110" t="s">
        <v>471</v>
      </c>
      <c r="D153" s="129">
        <f>D122+D126+D138+D142+D143+D148+D152</f>
        <v>184683117</v>
      </c>
      <c r="E153" s="138" t="s">
        <v>472</v>
      </c>
      <c r="F153" s="78" t="s">
        <v>473</v>
      </c>
      <c r="G153" s="79">
        <f>30161+518</f>
        <v>30679</v>
      </c>
    </row>
    <row r="154" spans="2:7" ht="13.7" customHeight="1" thickBot="1">
      <c r="B154" s="5"/>
      <c r="C154" s="116"/>
      <c r="D154" s="116"/>
      <c r="E154" s="138"/>
      <c r="F154" s="85" t="s">
        <v>474</v>
      </c>
      <c r="G154" s="94">
        <f>SUM(G144:G153)</f>
        <v>21412261</v>
      </c>
    </row>
    <row r="155" spans="2:7" ht="13.5" customHeight="1" thickBot="1">
      <c r="B155" s="5"/>
      <c r="C155" s="72" t="s">
        <v>475</v>
      </c>
      <c r="D155" s="103">
        <f>G109-D153</f>
        <v>88040371</v>
      </c>
      <c r="E155" s="138" t="s">
        <v>476</v>
      </c>
      <c r="F155" s="119" t="s">
        <v>477</v>
      </c>
      <c r="G155" s="120">
        <v>5103393</v>
      </c>
    </row>
    <row r="156" spans="2:7" ht="13.7" customHeight="1">
      <c r="C156" s="116"/>
      <c r="D156" s="116"/>
      <c r="E156" s="138" t="s">
        <v>478</v>
      </c>
      <c r="F156" s="121" t="s">
        <v>479</v>
      </c>
      <c r="G156" s="122">
        <f>9066681+677744</f>
        <v>9744425</v>
      </c>
    </row>
    <row r="157" spans="2:7" ht="13.7" customHeight="1">
      <c r="C157" s="116"/>
      <c r="D157" s="116"/>
      <c r="E157" s="138" t="s">
        <v>480</v>
      </c>
      <c r="F157" s="121" t="s">
        <v>481</v>
      </c>
      <c r="G157" s="122">
        <v>477940</v>
      </c>
    </row>
    <row r="158" spans="2:7" ht="13.7" customHeight="1">
      <c r="C158" s="116"/>
      <c r="D158" s="116"/>
      <c r="E158" s="138" t="s">
        <v>482</v>
      </c>
      <c r="F158" s="121" t="s">
        <v>483</v>
      </c>
      <c r="G158" s="122">
        <v>0</v>
      </c>
    </row>
    <row r="159" spans="2:7" ht="13.7" customHeight="1">
      <c r="C159" s="116"/>
      <c r="D159" s="116"/>
      <c r="E159" s="138" t="s">
        <v>484</v>
      </c>
      <c r="F159" s="121" t="s">
        <v>485</v>
      </c>
      <c r="G159" s="122">
        <v>428015</v>
      </c>
    </row>
    <row r="160" spans="2:7" ht="13.7" customHeight="1">
      <c r="C160" s="116"/>
      <c r="D160" s="116"/>
      <c r="E160" s="138" t="s">
        <v>486</v>
      </c>
      <c r="F160" s="121" t="s">
        <v>487</v>
      </c>
      <c r="G160" s="122">
        <f>13313+1030097</f>
        <v>1043410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f>16254+1482426-17</f>
        <v>1498663</v>
      </c>
    </row>
    <row r="167" spans="3:7" ht="13.7" customHeight="1">
      <c r="C167" s="116"/>
      <c r="D167" s="116"/>
      <c r="E167" s="138" t="s">
        <v>500</v>
      </c>
      <c r="F167" s="78" t="s">
        <v>501</v>
      </c>
      <c r="G167" s="79">
        <f>551931+74885</f>
        <v>626816</v>
      </c>
    </row>
    <row r="168" spans="3:7" ht="13.7" customHeight="1" thickBot="1">
      <c r="C168" s="116"/>
      <c r="D168" s="116"/>
      <c r="E168" s="138"/>
      <c r="F168" s="85" t="s">
        <v>502</v>
      </c>
      <c r="G168" s="94">
        <f>SUM(G155:G167)</f>
        <v>18922662</v>
      </c>
    </row>
    <row r="169" spans="3:7" ht="13.7" customHeight="1" thickBot="1">
      <c r="C169" s="116"/>
      <c r="D169" s="116"/>
      <c r="E169" s="138"/>
      <c r="F169" s="110" t="s">
        <v>503</v>
      </c>
      <c r="G169" s="126">
        <f>G154-G168</f>
        <v>2489599</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82661987</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2223504</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2223504</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84885491</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33" priority="2" stopIfTrue="1" operator="greaterThan">
      <formula>50</formula>
    </cfRule>
    <cfRule type="cellIs" dxfId="132" priority="11" stopIfTrue="1" operator="equal">
      <formula>0</formula>
    </cfRule>
  </conditionalFormatting>
  <conditionalFormatting sqref="D7:D61">
    <cfRule type="cellIs" dxfId="131" priority="9" stopIfTrue="1" operator="between">
      <formula>-0.1</formula>
      <formula>-50</formula>
    </cfRule>
    <cfRule type="cellIs" dxfId="130" priority="10" stopIfTrue="1" operator="between">
      <formula>0.1</formula>
      <formula>50</formula>
    </cfRule>
  </conditionalFormatting>
  <conditionalFormatting sqref="G152:G181 G7:G150">
    <cfRule type="cellIs" dxfId="129" priority="7" stopIfTrue="1" operator="between">
      <formula>-0.1</formula>
      <formula>-50</formula>
    </cfRule>
    <cfRule type="cellIs" dxfId="128" priority="8" stopIfTrue="1" operator="between">
      <formula>0.1</formula>
      <formula>50</formula>
    </cfRule>
  </conditionalFormatting>
  <conditionalFormatting sqref="D111:D155">
    <cfRule type="cellIs" dxfId="127" priority="5" stopIfTrue="1" operator="between">
      <formula>-0.1</formula>
      <formula>-50</formula>
    </cfRule>
    <cfRule type="cellIs" dxfId="126" priority="6" stopIfTrue="1" operator="between">
      <formula>0.1</formula>
      <formula>50</formula>
    </cfRule>
  </conditionalFormatting>
  <conditionalFormatting sqref="G165">
    <cfRule type="expression" dxfId="125" priority="4" stopIfTrue="1">
      <formula>AND($G$165&gt;0,$G$151&gt;0)</formula>
    </cfRule>
  </conditionalFormatting>
  <conditionalFormatting sqref="G151">
    <cfRule type="expression" dxfId="124"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9370078740157483" bottom="0"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56:G167 G144:G153 D144:D147 D140:D141 G129:G137 D127:D137 G116:G122 D112:D121 G96:G100 G80:G94 G58:G78 D50:D51 G49:G56 D36:D46 G46:G47 G39 G28:G31 D30:D34 D22:D28 G21:G26 D7:D19 G7:G18" unlockedFormula="1"/>
  </ignoredError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pane ySplit="5" topLeftCell="A6" activePane="bottomLeft" state="frozenSplit"/>
      <selection activeCell="F4" sqref="F4"/>
      <selection pane="bottomLeft" activeCell="C175" sqref="C175"/>
    </sheetView>
  </sheetViews>
  <sheetFormatPr baseColWidth="10" defaultColWidth="0" defaultRowHeight="15.75" zeroHeight="1"/>
  <cols>
    <col min="1" max="1" width="2.42578125" style="1" customWidth="1"/>
    <col min="2" max="2" width="14.28515625" style="6" hidden="1" customWidth="1"/>
    <col min="3" max="3" width="56.85546875" style="19" customWidth="1"/>
    <col min="4" max="4" width="20.7109375" style="19" customWidth="1"/>
    <col min="5" max="5" width="3.85546875" style="13" customWidth="1"/>
    <col min="6" max="6" width="57.28515625" style="19" customWidth="1"/>
    <col min="7" max="7" width="21.7109375" style="19" customWidth="1"/>
    <col min="8" max="8" width="3.42578125" style="4" customWidth="1"/>
    <col min="9" max="16384" width="0" style="4" hidden="1"/>
  </cols>
  <sheetData>
    <row r="1" spans="1:9">
      <c r="B1" s="2"/>
      <c r="C1" s="255" t="s">
        <v>0</v>
      </c>
      <c r="D1" s="258"/>
      <c r="E1" s="253" t="str">
        <f>[36]Presentacion!C3</f>
        <v>IAC</v>
      </c>
      <c r="F1" s="253"/>
      <c r="G1" s="136"/>
      <c r="H1" s="3"/>
    </row>
    <row r="2" spans="1:9">
      <c r="B2" s="5"/>
      <c r="C2" s="255" t="s">
        <v>1</v>
      </c>
      <c r="D2" s="258"/>
      <c r="E2" s="253" t="str">
        <f>[36]Presentacion!C4</f>
        <v>Treinta y Tres</v>
      </c>
      <c r="F2" s="253"/>
      <c r="G2" s="136"/>
      <c r="H2" s="3"/>
    </row>
    <row r="3" spans="1:9">
      <c r="B3" s="5"/>
      <c r="C3" s="255" t="s">
        <v>2</v>
      </c>
      <c r="D3" s="262"/>
      <c r="E3" s="254" t="s">
        <v>3</v>
      </c>
      <c r="F3" s="254"/>
      <c r="G3" s="136"/>
      <c r="H3" s="3"/>
    </row>
    <row r="4" spans="1:9" ht="9.75" customHeight="1" thickBot="1">
      <c r="C4" s="68"/>
      <c r="D4" s="7"/>
      <c r="E4" s="8"/>
      <c r="F4" s="9"/>
      <c r="G4" s="10"/>
    </row>
    <row r="5" spans="1:9" ht="16.5" customHeight="1" thickBot="1">
      <c r="B5" s="11"/>
      <c r="C5" s="72" t="s">
        <v>4</v>
      </c>
      <c r="D5" s="73" t="s">
        <v>5</v>
      </c>
      <c r="E5" s="137"/>
      <c r="F5" s="72" t="s">
        <v>6</v>
      </c>
      <c r="G5" s="73" t="s">
        <v>5</v>
      </c>
      <c r="I5" s="12"/>
    </row>
    <row r="6" spans="1:9" ht="12.75" customHeight="1" thickBot="1">
      <c r="B6" s="11"/>
      <c r="C6" s="75" t="s">
        <v>7</v>
      </c>
      <c r="D6" s="230">
        <f>+[36]E.S.P.!D6</f>
        <v>2021</v>
      </c>
      <c r="E6" s="138"/>
      <c r="F6" s="75" t="s">
        <v>8</v>
      </c>
      <c r="G6" s="230">
        <f>+D6</f>
        <v>2021</v>
      </c>
      <c r="H6" s="12"/>
    </row>
    <row r="7" spans="1:9">
      <c r="B7" s="5" t="s">
        <v>9</v>
      </c>
      <c r="C7" s="78" t="s">
        <v>10</v>
      </c>
      <c r="D7" s="79">
        <v>15115703</v>
      </c>
      <c r="E7" s="138" t="s">
        <v>11</v>
      </c>
      <c r="F7" s="80" t="s">
        <v>12</v>
      </c>
      <c r="G7" s="81">
        <v>1540680</v>
      </c>
    </row>
    <row r="8" spans="1:9">
      <c r="B8" s="5" t="s">
        <v>13</v>
      </c>
      <c r="C8" s="78" t="s">
        <v>14</v>
      </c>
      <c r="D8" s="79">
        <v>35797109</v>
      </c>
      <c r="E8" s="138" t="s">
        <v>15</v>
      </c>
      <c r="F8" s="78" t="s">
        <v>16</v>
      </c>
      <c r="G8" s="82">
        <v>0</v>
      </c>
    </row>
    <row r="9" spans="1:9">
      <c r="B9" s="5" t="s">
        <v>17</v>
      </c>
      <c r="C9" s="78" t="s">
        <v>18</v>
      </c>
      <c r="D9" s="79">
        <f>605526434+2387615</f>
        <v>607914049</v>
      </c>
      <c r="E9" s="138" t="s">
        <v>19</v>
      </c>
      <c r="F9" s="78" t="s">
        <v>20</v>
      </c>
      <c r="G9" s="79">
        <v>0</v>
      </c>
    </row>
    <row r="10" spans="1:9">
      <c r="B10" s="5" t="s">
        <v>21</v>
      </c>
      <c r="C10" s="78" t="s">
        <v>22</v>
      </c>
      <c r="D10" s="79">
        <v>57917655</v>
      </c>
      <c r="E10" s="138" t="s">
        <v>23</v>
      </c>
      <c r="F10" s="78" t="s">
        <v>24</v>
      </c>
      <c r="G10" s="79">
        <v>71851077</v>
      </c>
    </row>
    <row r="11" spans="1:9">
      <c r="B11" s="5" t="s">
        <v>25</v>
      </c>
      <c r="C11" s="78" t="s">
        <v>26</v>
      </c>
      <c r="D11" s="79">
        <v>15020613</v>
      </c>
      <c r="E11" s="138" t="s">
        <v>27</v>
      </c>
      <c r="F11" s="78" t="s">
        <v>28</v>
      </c>
      <c r="G11" s="79">
        <v>124323887</v>
      </c>
    </row>
    <row r="12" spans="1:9">
      <c r="B12" s="5" t="s">
        <v>29</v>
      </c>
      <c r="C12" s="78" t="s">
        <v>30</v>
      </c>
      <c r="D12" s="79">
        <v>14377576</v>
      </c>
      <c r="E12" s="138" t="s">
        <v>31</v>
      </c>
      <c r="F12" s="78" t="s">
        <v>32</v>
      </c>
      <c r="G12" s="79">
        <v>25059361</v>
      </c>
    </row>
    <row r="13" spans="1:9">
      <c r="B13" s="5" t="s">
        <v>33</v>
      </c>
      <c r="C13" s="78" t="s">
        <v>34</v>
      </c>
      <c r="D13" s="79">
        <v>2716491</v>
      </c>
      <c r="E13" s="138" t="s">
        <v>35</v>
      </c>
      <c r="F13" s="78" t="s">
        <v>36</v>
      </c>
      <c r="G13" s="79">
        <v>27861540</v>
      </c>
    </row>
    <row r="14" spans="1:9">
      <c r="A14" s="14"/>
      <c r="B14" s="5" t="s">
        <v>37</v>
      </c>
      <c r="C14" s="78" t="s">
        <v>38</v>
      </c>
      <c r="D14" s="79">
        <v>0</v>
      </c>
      <c r="E14" s="138" t="s">
        <v>39</v>
      </c>
      <c r="F14" s="78" t="s">
        <v>40</v>
      </c>
      <c r="G14" s="79">
        <v>77434164</v>
      </c>
    </row>
    <row r="15" spans="1:9">
      <c r="B15" s="5" t="s">
        <v>41</v>
      </c>
      <c r="C15" s="83" t="s">
        <v>42</v>
      </c>
      <c r="D15" s="79">
        <v>0</v>
      </c>
      <c r="E15" s="138" t="s">
        <v>43</v>
      </c>
      <c r="F15" s="78" t="s">
        <v>44</v>
      </c>
      <c r="G15" s="79">
        <v>48634334</v>
      </c>
    </row>
    <row r="16" spans="1:9">
      <c r="B16" s="5" t="s">
        <v>45</v>
      </c>
      <c r="C16" s="78" t="s">
        <v>46</v>
      </c>
      <c r="D16" s="79">
        <v>0</v>
      </c>
      <c r="E16" s="138" t="s">
        <v>47</v>
      </c>
      <c r="F16" s="78" t="s">
        <v>48</v>
      </c>
      <c r="G16" s="79">
        <v>42424610</v>
      </c>
    </row>
    <row r="17" spans="1:7">
      <c r="B17" s="5" t="s">
        <v>49</v>
      </c>
      <c r="C17" s="78" t="s">
        <v>50</v>
      </c>
      <c r="D17" s="79">
        <v>0</v>
      </c>
      <c r="E17" s="138" t="s">
        <v>51</v>
      </c>
      <c r="F17" s="78" t="s">
        <v>52</v>
      </c>
      <c r="G17" s="79">
        <v>31523872</v>
      </c>
    </row>
    <row r="18" spans="1:7">
      <c r="A18" s="14"/>
      <c r="B18" s="5" t="s">
        <v>53</v>
      </c>
      <c r="C18" s="78" t="s">
        <v>54</v>
      </c>
      <c r="D18" s="79">
        <v>4275</v>
      </c>
      <c r="E18" s="138" t="s">
        <v>55</v>
      </c>
      <c r="F18" s="78" t="s">
        <v>56</v>
      </c>
      <c r="G18" s="84">
        <v>15082966</v>
      </c>
    </row>
    <row r="19" spans="1:7" ht="16.5" thickBot="1">
      <c r="A19" s="14"/>
      <c r="B19" s="5" t="s">
        <v>57</v>
      </c>
      <c r="C19" s="78" t="s">
        <v>58</v>
      </c>
      <c r="D19" s="79">
        <v>24983872</v>
      </c>
      <c r="E19" s="138"/>
      <c r="F19" s="85" t="s">
        <v>59</v>
      </c>
      <c r="G19" s="86">
        <f>SUM(G7:G18)</f>
        <v>465736491</v>
      </c>
    </row>
    <row r="20" spans="1:7" ht="16.5" thickBot="1">
      <c r="B20" s="5"/>
      <c r="C20" s="85" t="s">
        <v>60</v>
      </c>
      <c r="D20" s="86">
        <f>SUM(D7:D19)</f>
        <v>773847343</v>
      </c>
      <c r="E20" s="138" t="s">
        <v>61</v>
      </c>
      <c r="F20" s="80" t="s">
        <v>62</v>
      </c>
      <c r="G20" s="81">
        <v>61614</v>
      </c>
    </row>
    <row r="21" spans="1:7">
      <c r="B21" s="5"/>
      <c r="C21" s="87" t="s">
        <v>63</v>
      </c>
      <c r="D21" s="88">
        <f>SUM(D22:D28)</f>
        <v>9526185</v>
      </c>
      <c r="E21" s="138" t="s">
        <v>64</v>
      </c>
      <c r="F21" s="78" t="s">
        <v>65</v>
      </c>
      <c r="G21" s="79">
        <v>10473955</v>
      </c>
    </row>
    <row r="22" spans="1:7">
      <c r="B22" s="5" t="s">
        <v>66</v>
      </c>
      <c r="C22" s="78" t="s">
        <v>67</v>
      </c>
      <c r="D22" s="79">
        <v>6554643</v>
      </c>
      <c r="E22" s="138" t="s">
        <v>68</v>
      </c>
      <c r="F22" s="78" t="s">
        <v>69</v>
      </c>
      <c r="G22" s="79">
        <v>0</v>
      </c>
    </row>
    <row r="23" spans="1:7">
      <c r="B23" s="5" t="s">
        <v>70</v>
      </c>
      <c r="C23" s="78" t="s">
        <v>71</v>
      </c>
      <c r="D23" s="79">
        <v>361992</v>
      </c>
      <c r="E23" s="138" t="s">
        <v>72</v>
      </c>
      <c r="F23" s="78" t="s">
        <v>73</v>
      </c>
      <c r="G23" s="79">
        <v>5607374</v>
      </c>
    </row>
    <row r="24" spans="1:7">
      <c r="B24" s="5" t="s">
        <v>74</v>
      </c>
      <c r="C24" s="78" t="s">
        <v>75</v>
      </c>
      <c r="D24" s="79">
        <v>1629495</v>
      </c>
      <c r="E24" s="138" t="s">
        <v>76</v>
      </c>
      <c r="F24" s="78" t="s">
        <v>77</v>
      </c>
      <c r="G24" s="79">
        <v>0</v>
      </c>
    </row>
    <row r="25" spans="1:7">
      <c r="B25" s="5" t="s">
        <v>78</v>
      </c>
      <c r="C25" s="78" t="s">
        <v>79</v>
      </c>
      <c r="D25" s="79">
        <v>27067</v>
      </c>
      <c r="E25" s="138" t="s">
        <v>80</v>
      </c>
      <c r="F25" s="78" t="s">
        <v>81</v>
      </c>
      <c r="G25" s="79">
        <v>469137</v>
      </c>
    </row>
    <row r="26" spans="1:7">
      <c r="B26" s="5" t="s">
        <v>82</v>
      </c>
      <c r="C26" s="78" t="s">
        <v>83</v>
      </c>
      <c r="D26" s="79">
        <v>275869</v>
      </c>
      <c r="E26" s="138" t="s">
        <v>84</v>
      </c>
      <c r="F26" s="78" t="s">
        <v>85</v>
      </c>
      <c r="G26" s="84">
        <v>555991</v>
      </c>
    </row>
    <row r="27" spans="1:7" ht="13.5" customHeight="1" thickBot="1">
      <c r="B27" s="5" t="s">
        <v>86</v>
      </c>
      <c r="C27" s="78" t="s">
        <v>87</v>
      </c>
      <c r="D27" s="79">
        <v>368612</v>
      </c>
      <c r="E27" s="138"/>
      <c r="F27" s="85" t="s">
        <v>88</v>
      </c>
      <c r="G27" s="86">
        <f>SUM(G20:G26)</f>
        <v>17168071</v>
      </c>
    </row>
    <row r="28" spans="1:7">
      <c r="B28" s="5" t="s">
        <v>89</v>
      </c>
      <c r="C28" s="78" t="s">
        <v>90</v>
      </c>
      <c r="D28" s="79">
        <v>308507</v>
      </c>
      <c r="E28" s="138" t="s">
        <v>91</v>
      </c>
      <c r="F28" s="80" t="s">
        <v>92</v>
      </c>
      <c r="G28" s="81">
        <v>47349544</v>
      </c>
    </row>
    <row r="29" spans="1:7">
      <c r="B29" s="5"/>
      <c r="C29" s="89" t="s">
        <v>93</v>
      </c>
      <c r="D29" s="88">
        <f>SUM(D30:D34)</f>
        <v>55467261</v>
      </c>
      <c r="E29" s="138" t="s">
        <v>94</v>
      </c>
      <c r="F29" s="78" t="s">
        <v>95</v>
      </c>
      <c r="G29" s="79">
        <v>0</v>
      </c>
    </row>
    <row r="30" spans="1:7">
      <c r="B30" s="5" t="s">
        <v>96</v>
      </c>
      <c r="C30" s="78" t="s">
        <v>97</v>
      </c>
      <c r="D30" s="79">
        <v>44686533</v>
      </c>
      <c r="E30" s="138" t="s">
        <v>98</v>
      </c>
      <c r="F30" s="78" t="s">
        <v>99</v>
      </c>
      <c r="G30" s="79">
        <v>2741240</v>
      </c>
    </row>
    <row r="31" spans="1:7">
      <c r="B31" s="5" t="s">
        <v>100</v>
      </c>
      <c r="C31" s="78" t="s">
        <v>101</v>
      </c>
      <c r="D31" s="79">
        <v>5841013</v>
      </c>
      <c r="E31" s="138" t="s">
        <v>102</v>
      </c>
      <c r="F31" s="78" t="s">
        <v>103</v>
      </c>
      <c r="G31" s="84">
        <v>1676493</v>
      </c>
    </row>
    <row r="32" spans="1:7" ht="16.5" thickBot="1">
      <c r="B32" s="5" t="s">
        <v>104</v>
      </c>
      <c r="C32" s="78" t="s">
        <v>105</v>
      </c>
      <c r="D32" s="79">
        <v>2741840</v>
      </c>
      <c r="E32" s="138"/>
      <c r="F32" s="85" t="s">
        <v>106</v>
      </c>
      <c r="G32" s="86">
        <f>SUM(G28:G31)</f>
        <v>51767277</v>
      </c>
    </row>
    <row r="33" spans="2:7">
      <c r="B33" s="5" t="s">
        <v>107</v>
      </c>
      <c r="C33" s="78" t="s">
        <v>108</v>
      </c>
      <c r="D33" s="79">
        <v>401557</v>
      </c>
      <c r="E33" s="138"/>
      <c r="F33" s="89" t="s">
        <v>109</v>
      </c>
      <c r="G33" s="88">
        <f>SUM(G34:G39)</f>
        <v>43278867</v>
      </c>
    </row>
    <row r="34" spans="2:7">
      <c r="B34" s="5" t="s">
        <v>110</v>
      </c>
      <c r="C34" s="78" t="s">
        <v>111</v>
      </c>
      <c r="D34" s="79">
        <v>1796318</v>
      </c>
      <c r="E34" s="138" t="s">
        <v>112</v>
      </c>
      <c r="F34" s="78" t="s">
        <v>113</v>
      </c>
      <c r="G34" s="79">
        <v>2405143</v>
      </c>
    </row>
    <row r="35" spans="2:7" ht="16.5" thickBot="1">
      <c r="B35" s="5"/>
      <c r="C35" s="85" t="s">
        <v>114</v>
      </c>
      <c r="D35" s="86">
        <f>+D21+D29</f>
        <v>64993446</v>
      </c>
      <c r="E35" s="138" t="s">
        <v>115</v>
      </c>
      <c r="F35" s="78" t="s">
        <v>116</v>
      </c>
      <c r="G35" s="79">
        <v>904461</v>
      </c>
    </row>
    <row r="36" spans="2:7">
      <c r="B36" s="5" t="s">
        <v>117</v>
      </c>
      <c r="C36" s="78" t="s">
        <v>118</v>
      </c>
      <c r="D36" s="79">
        <v>5309012</v>
      </c>
      <c r="E36" s="138" t="s">
        <v>119</v>
      </c>
      <c r="F36" s="78" t="s">
        <v>517</v>
      </c>
      <c r="G36" s="79">
        <v>1127296</v>
      </c>
    </row>
    <row r="37" spans="2:7">
      <c r="B37" s="5" t="s">
        <v>120</v>
      </c>
      <c r="C37" s="78" t="s">
        <v>121</v>
      </c>
      <c r="D37" s="79">
        <v>1388081</v>
      </c>
      <c r="E37" s="138" t="s">
        <v>122</v>
      </c>
      <c r="F37" s="78" t="s">
        <v>123</v>
      </c>
      <c r="G37" s="79">
        <v>3536972</v>
      </c>
    </row>
    <row r="38" spans="2:7">
      <c r="B38" s="5" t="s">
        <v>124</v>
      </c>
      <c r="C38" s="78" t="s">
        <v>125</v>
      </c>
      <c r="D38" s="79">
        <v>0</v>
      </c>
      <c r="E38" s="138" t="s">
        <v>126</v>
      </c>
      <c r="F38" s="78" t="s">
        <v>127</v>
      </c>
      <c r="G38" s="79">
        <v>5088399</v>
      </c>
    </row>
    <row r="39" spans="2:7">
      <c r="B39" s="5" t="s">
        <v>128</v>
      </c>
      <c r="C39" s="78" t="s">
        <v>129</v>
      </c>
      <c r="D39" s="79">
        <v>0</v>
      </c>
      <c r="E39" s="138" t="s">
        <v>130</v>
      </c>
      <c r="F39" s="78" t="s">
        <v>131</v>
      </c>
      <c r="G39" s="79">
        <v>30216596</v>
      </c>
    </row>
    <row r="40" spans="2:7">
      <c r="B40" s="5" t="s">
        <v>132</v>
      </c>
      <c r="C40" s="78" t="s">
        <v>133</v>
      </c>
      <c r="D40" s="79">
        <v>293775</v>
      </c>
      <c r="E40" s="138"/>
      <c r="F40" s="90" t="s">
        <v>134</v>
      </c>
      <c r="G40" s="91">
        <f>SUM(G41:G46)</f>
        <v>15841888</v>
      </c>
    </row>
    <row r="41" spans="2:7">
      <c r="B41" s="5" t="s">
        <v>135</v>
      </c>
      <c r="C41" s="78" t="s">
        <v>136</v>
      </c>
      <c r="D41" s="79">
        <v>0</v>
      </c>
      <c r="E41" s="138" t="s">
        <v>137</v>
      </c>
      <c r="F41" s="78" t="s">
        <v>138</v>
      </c>
      <c r="G41" s="79">
        <v>2290214</v>
      </c>
    </row>
    <row r="42" spans="2:7">
      <c r="B42" s="5" t="s">
        <v>139</v>
      </c>
      <c r="C42" s="78" t="s">
        <v>140</v>
      </c>
      <c r="D42" s="79">
        <v>29656532</v>
      </c>
      <c r="E42" s="138" t="s">
        <v>141</v>
      </c>
      <c r="F42" s="78" t="s">
        <v>142</v>
      </c>
      <c r="G42" s="79">
        <v>41331</v>
      </c>
    </row>
    <row r="43" spans="2:7">
      <c r="B43" s="5" t="s">
        <v>143</v>
      </c>
      <c r="C43" s="78" t="s">
        <v>144</v>
      </c>
      <c r="D43" s="79">
        <v>0</v>
      </c>
      <c r="E43" s="138" t="s">
        <v>145</v>
      </c>
      <c r="F43" s="78" t="s">
        <v>146</v>
      </c>
      <c r="G43" s="79">
        <v>1152907</v>
      </c>
    </row>
    <row r="44" spans="2:7">
      <c r="B44" s="5" t="s">
        <v>147</v>
      </c>
      <c r="C44" s="78" t="s">
        <v>148</v>
      </c>
      <c r="D44" s="79">
        <v>0</v>
      </c>
      <c r="E44" s="138" t="s">
        <v>149</v>
      </c>
      <c r="F44" s="78" t="s">
        <v>150</v>
      </c>
      <c r="G44" s="79">
        <v>1204919</v>
      </c>
    </row>
    <row r="45" spans="2:7">
      <c r="B45" s="5" t="s">
        <v>151</v>
      </c>
      <c r="C45" s="78" t="s">
        <v>152</v>
      </c>
      <c r="D45" s="79">
        <v>3477943</v>
      </c>
      <c r="E45" s="138" t="s">
        <v>153</v>
      </c>
      <c r="F45" s="78" t="s">
        <v>154</v>
      </c>
      <c r="G45" s="79">
        <v>263205</v>
      </c>
    </row>
    <row r="46" spans="2:7">
      <c r="B46" s="5" t="s">
        <v>155</v>
      </c>
      <c r="C46" s="78" t="s">
        <v>156</v>
      </c>
      <c r="D46" s="79">
        <v>1342959</v>
      </c>
      <c r="E46" s="138" t="s">
        <v>157</v>
      </c>
      <c r="F46" s="78" t="s">
        <v>158</v>
      </c>
      <c r="G46" s="79">
        <v>10889312</v>
      </c>
    </row>
    <row r="47" spans="2:7" ht="16.5" thickBot="1">
      <c r="B47" s="5"/>
      <c r="C47" s="85" t="s">
        <v>159</v>
      </c>
      <c r="D47" s="86">
        <f>SUM(D36:D46)</f>
        <v>41468302</v>
      </c>
      <c r="E47" s="138" t="s">
        <v>160</v>
      </c>
      <c r="F47" s="78" t="s">
        <v>161</v>
      </c>
      <c r="G47" s="84">
        <v>1978718</v>
      </c>
    </row>
    <row r="48" spans="2:7" ht="16.5" thickBot="1">
      <c r="B48" s="5"/>
      <c r="C48" s="92" t="s">
        <v>162</v>
      </c>
      <c r="D48" s="93"/>
      <c r="E48" s="138"/>
      <c r="F48" s="85" t="s">
        <v>163</v>
      </c>
      <c r="G48" s="94">
        <f>+G33+G40+G47</f>
        <v>61099473</v>
      </c>
    </row>
    <row r="49" spans="2:7">
      <c r="B49" s="5" t="s">
        <v>164</v>
      </c>
      <c r="C49" s="95" t="s">
        <v>165</v>
      </c>
      <c r="D49" s="96">
        <v>0</v>
      </c>
      <c r="E49" s="138" t="s">
        <v>166</v>
      </c>
      <c r="F49" s="80" t="s">
        <v>167</v>
      </c>
      <c r="G49" s="81">
        <v>19796103</v>
      </c>
    </row>
    <row r="50" spans="2:7">
      <c r="B50" s="5" t="s">
        <v>168</v>
      </c>
      <c r="C50" s="78" t="s">
        <v>162</v>
      </c>
      <c r="D50" s="79">
        <f>969924+1380384</f>
        <v>2350308</v>
      </c>
      <c r="E50" s="138" t="s">
        <v>169</v>
      </c>
      <c r="F50" s="78" t="s">
        <v>170</v>
      </c>
      <c r="G50" s="79">
        <v>27521201</v>
      </c>
    </row>
    <row r="51" spans="2:7">
      <c r="B51" s="5" t="s">
        <v>171</v>
      </c>
      <c r="C51" s="78" t="s">
        <v>172</v>
      </c>
      <c r="D51" s="84">
        <v>32462</v>
      </c>
      <c r="E51" s="138" t="s">
        <v>173</v>
      </c>
      <c r="F51" s="78" t="s">
        <v>174</v>
      </c>
      <c r="G51" s="79">
        <v>0</v>
      </c>
    </row>
    <row r="52" spans="2:7" ht="16.5" thickBot="1">
      <c r="B52" s="11"/>
      <c r="C52" s="85" t="s">
        <v>175</v>
      </c>
      <c r="D52" s="86">
        <f>SUM(D49:D51)</f>
        <v>2382770</v>
      </c>
      <c r="E52" s="138" t="s">
        <v>176</v>
      </c>
      <c r="F52" s="78" t="s">
        <v>177</v>
      </c>
      <c r="G52" s="79">
        <v>1400139</v>
      </c>
    </row>
    <row r="53" spans="2:7" ht="16.5" thickBot="1">
      <c r="B53" s="5"/>
      <c r="C53" s="75" t="s">
        <v>178</v>
      </c>
      <c r="D53" s="97">
        <f>D20+D35+D47+D52</f>
        <v>882691861</v>
      </c>
      <c r="E53" s="138" t="s">
        <v>179</v>
      </c>
      <c r="F53" s="78" t="s">
        <v>180</v>
      </c>
      <c r="G53" s="79">
        <v>1661756</v>
      </c>
    </row>
    <row r="54" spans="2:7">
      <c r="C54" s="98"/>
      <c r="D54" s="99"/>
      <c r="E54" s="138" t="s">
        <v>181</v>
      </c>
      <c r="F54" s="78" t="s">
        <v>182</v>
      </c>
      <c r="G54" s="79">
        <v>1048668</v>
      </c>
    </row>
    <row r="55" spans="2:7">
      <c r="C55" s="100" t="s">
        <v>183</v>
      </c>
      <c r="D55" s="101"/>
      <c r="E55" s="138" t="s">
        <v>184</v>
      </c>
      <c r="F55" s="78" t="s">
        <v>185</v>
      </c>
      <c r="G55" s="79">
        <v>176641</v>
      </c>
    </row>
    <row r="56" spans="2:7">
      <c r="B56" s="5" t="s">
        <v>186</v>
      </c>
      <c r="C56" s="102" t="s">
        <v>187</v>
      </c>
      <c r="D56" s="79"/>
      <c r="E56" s="138" t="s">
        <v>188</v>
      </c>
      <c r="F56" s="78" t="s">
        <v>189</v>
      </c>
      <c r="G56" s="84">
        <v>1727156</v>
      </c>
    </row>
    <row r="57" spans="2:7" ht="14.25" customHeight="1" thickBot="1">
      <c r="B57" s="5" t="s">
        <v>190</v>
      </c>
      <c r="C57" s="102" t="s">
        <v>191</v>
      </c>
      <c r="D57" s="79"/>
      <c r="E57" s="138"/>
      <c r="F57" s="85" t="s">
        <v>192</v>
      </c>
      <c r="G57" s="86">
        <f>SUM(G49:G56)</f>
        <v>53331664</v>
      </c>
    </row>
    <row r="58" spans="2:7">
      <c r="B58" s="5" t="s">
        <v>193</v>
      </c>
      <c r="C58" s="102" t="s">
        <v>194</v>
      </c>
      <c r="D58" s="79"/>
      <c r="E58" s="138" t="s">
        <v>195</v>
      </c>
      <c r="F58" s="80" t="s">
        <v>196</v>
      </c>
      <c r="G58" s="81">
        <v>0</v>
      </c>
    </row>
    <row r="59" spans="2:7">
      <c r="B59" s="5" t="s">
        <v>197</v>
      </c>
      <c r="C59" s="78" t="s">
        <v>198</v>
      </c>
      <c r="D59" s="84"/>
      <c r="E59" s="138" t="s">
        <v>199</v>
      </c>
      <c r="F59" s="78" t="s">
        <v>200</v>
      </c>
      <c r="G59" s="79">
        <v>22062017</v>
      </c>
    </row>
    <row r="60" spans="2:7" ht="16.5" thickBot="1">
      <c r="B60" s="5"/>
      <c r="C60" s="85" t="s">
        <v>201</v>
      </c>
      <c r="D60" s="86">
        <f>SUM(D56:D59)</f>
        <v>0</v>
      </c>
      <c r="E60" s="138" t="s">
        <v>202</v>
      </c>
      <c r="F60" s="78" t="s">
        <v>203</v>
      </c>
      <c r="G60" s="79">
        <v>0</v>
      </c>
    </row>
    <row r="61" spans="2:7" ht="16.5" thickBot="1">
      <c r="B61" s="15"/>
      <c r="C61" s="72" t="s">
        <v>204</v>
      </c>
      <c r="D61" s="103">
        <f>D53+D60</f>
        <v>882691861</v>
      </c>
      <c r="E61" s="138" t="s">
        <v>205</v>
      </c>
      <c r="F61" s="78" t="s">
        <v>206</v>
      </c>
      <c r="G61" s="79">
        <v>0</v>
      </c>
    </row>
    <row r="62" spans="2:7">
      <c r="B62" s="16"/>
      <c r="C62" s="116"/>
      <c r="D62" s="116"/>
      <c r="E62" s="138" t="s">
        <v>207</v>
      </c>
      <c r="F62" s="78" t="s">
        <v>208</v>
      </c>
      <c r="G62" s="79">
        <v>0</v>
      </c>
    </row>
    <row r="63" spans="2:7">
      <c r="B63" s="17"/>
      <c r="C63" s="222" t="s">
        <v>8</v>
      </c>
      <c r="D63" s="222"/>
      <c r="E63" s="138" t="s">
        <v>209</v>
      </c>
      <c r="F63" s="78" t="s">
        <v>210</v>
      </c>
      <c r="G63" s="79">
        <v>9179073</v>
      </c>
    </row>
    <row r="64" spans="2:7">
      <c r="B64" s="18" t="s">
        <v>211</v>
      </c>
      <c r="C64" s="223" t="s">
        <v>212</v>
      </c>
      <c r="D64" s="223">
        <f>[36]Amortizaciones!D6</f>
        <v>5258062</v>
      </c>
      <c r="E64" s="138" t="s">
        <v>213</v>
      </c>
      <c r="F64" s="78" t="s">
        <v>214</v>
      </c>
      <c r="G64" s="79">
        <v>1205271</v>
      </c>
    </row>
    <row r="65" spans="2:7">
      <c r="B65" s="18" t="s">
        <v>215</v>
      </c>
      <c r="C65" s="223" t="s">
        <v>216</v>
      </c>
      <c r="D65" s="223">
        <f>[36]Amortizaciones!D7</f>
        <v>0</v>
      </c>
      <c r="E65" s="138" t="s">
        <v>217</v>
      </c>
      <c r="F65" s="78" t="s">
        <v>218</v>
      </c>
      <c r="G65" s="79">
        <v>4221553</v>
      </c>
    </row>
    <row r="66" spans="2:7">
      <c r="B66" s="18" t="s">
        <v>219</v>
      </c>
      <c r="C66" s="223" t="s">
        <v>220</v>
      </c>
      <c r="D66" s="223">
        <f>[36]Amortizaciones!D8</f>
        <v>3184099</v>
      </c>
      <c r="E66" s="138" t="s">
        <v>221</v>
      </c>
      <c r="F66" s="78" t="s">
        <v>222</v>
      </c>
      <c r="G66" s="79">
        <v>3408543</v>
      </c>
    </row>
    <row r="67" spans="2:7">
      <c r="B67" s="18" t="s">
        <v>223</v>
      </c>
      <c r="C67" s="223" t="s">
        <v>224</v>
      </c>
      <c r="D67" s="223">
        <f>[36]Amortizaciones!D9</f>
        <v>1491</v>
      </c>
      <c r="E67" s="138" t="s">
        <v>225</v>
      </c>
      <c r="F67" s="78" t="s">
        <v>226</v>
      </c>
      <c r="G67" s="79">
        <v>0</v>
      </c>
    </row>
    <row r="68" spans="2:7">
      <c r="B68" s="18" t="s">
        <v>227</v>
      </c>
      <c r="C68" s="223" t="s">
        <v>228</v>
      </c>
      <c r="D68" s="223">
        <f>[36]Amortizaciones!D10</f>
        <v>397989</v>
      </c>
      <c r="E68" s="138" t="s">
        <v>229</v>
      </c>
      <c r="F68" s="78" t="s">
        <v>230</v>
      </c>
      <c r="G68" s="79">
        <v>0</v>
      </c>
    </row>
    <row r="69" spans="2:7">
      <c r="B69" s="18" t="s">
        <v>231</v>
      </c>
      <c r="C69" s="223" t="s">
        <v>232</v>
      </c>
      <c r="D69" s="223">
        <f>[36]Amortizaciones!D11</f>
        <v>414709</v>
      </c>
      <c r="E69" s="138" t="s">
        <v>233</v>
      </c>
      <c r="F69" s="78" t="s">
        <v>234</v>
      </c>
      <c r="G69" s="79">
        <v>7715533</v>
      </c>
    </row>
    <row r="70" spans="2:7">
      <c r="B70" s="18" t="s">
        <v>235</v>
      </c>
      <c r="C70" s="223" t="s">
        <v>236</v>
      </c>
      <c r="D70" s="223">
        <f>[36]Amortizaciones!D12</f>
        <v>184278</v>
      </c>
      <c r="E70" s="138" t="s">
        <v>237</v>
      </c>
      <c r="F70" s="78" t="s">
        <v>238</v>
      </c>
      <c r="G70" s="79">
        <v>0</v>
      </c>
    </row>
    <row r="71" spans="2:7">
      <c r="B71" s="18" t="s">
        <v>239</v>
      </c>
      <c r="C71" s="223" t="s">
        <v>240</v>
      </c>
      <c r="D71" s="223">
        <f>[36]Amortizaciones!D13</f>
        <v>826164</v>
      </c>
      <c r="E71" s="138" t="s">
        <v>241</v>
      </c>
      <c r="F71" s="78" t="s">
        <v>242</v>
      </c>
      <c r="G71" s="79">
        <v>0</v>
      </c>
    </row>
    <row r="72" spans="2:7">
      <c r="B72" s="18" t="s">
        <v>243</v>
      </c>
      <c r="C72" s="223" t="s">
        <v>244</v>
      </c>
      <c r="D72" s="223">
        <f>[36]Amortizaciones!D14</f>
        <v>959221</v>
      </c>
      <c r="E72" s="138" t="s">
        <v>245</v>
      </c>
      <c r="F72" s="78" t="s">
        <v>246</v>
      </c>
      <c r="G72" s="79">
        <v>0</v>
      </c>
    </row>
    <row r="73" spans="2:7">
      <c r="B73" s="18" t="s">
        <v>247</v>
      </c>
      <c r="C73" s="223" t="s">
        <v>248</v>
      </c>
      <c r="D73" s="223">
        <f>[36]Amortizaciones!D15</f>
        <v>0</v>
      </c>
      <c r="E73" s="138" t="s">
        <v>249</v>
      </c>
      <c r="F73" s="78" t="s">
        <v>250</v>
      </c>
      <c r="G73" s="79">
        <v>0</v>
      </c>
    </row>
    <row r="74" spans="2:7">
      <c r="B74" s="18" t="s">
        <v>251</v>
      </c>
      <c r="C74" s="223" t="s">
        <v>252</v>
      </c>
      <c r="D74" s="223">
        <f>[36]Amortizaciones!D16</f>
        <v>397250</v>
      </c>
      <c r="E74" s="138" t="s">
        <v>253</v>
      </c>
      <c r="F74" s="78" t="s">
        <v>254</v>
      </c>
      <c r="G74" s="79">
        <v>0</v>
      </c>
    </row>
    <row r="75" spans="2:7">
      <c r="B75" s="18" t="s">
        <v>255</v>
      </c>
      <c r="C75" s="223" t="s">
        <v>256</v>
      </c>
      <c r="D75" s="223">
        <f>[36]Amortizaciones!D17</f>
        <v>0</v>
      </c>
      <c r="E75" s="138" t="s">
        <v>257</v>
      </c>
      <c r="F75" s="78" t="s">
        <v>258</v>
      </c>
      <c r="G75" s="79">
        <v>0</v>
      </c>
    </row>
    <row r="76" spans="2:7">
      <c r="B76" s="18" t="s">
        <v>259</v>
      </c>
      <c r="C76" s="223" t="s">
        <v>260</v>
      </c>
      <c r="D76" s="223">
        <f>[36]Amortizaciones!D18</f>
        <v>0</v>
      </c>
      <c r="E76" s="138" t="s">
        <v>261</v>
      </c>
      <c r="F76" s="78" t="s">
        <v>262</v>
      </c>
      <c r="G76" s="79">
        <v>7779095</v>
      </c>
    </row>
    <row r="77" spans="2:7">
      <c r="B77" s="18" t="s">
        <v>263</v>
      </c>
      <c r="C77" s="223" t="s">
        <v>264</v>
      </c>
      <c r="D77" s="223">
        <f>SUM(D64:D76)</f>
        <v>11623263</v>
      </c>
      <c r="E77" s="138" t="s">
        <v>265</v>
      </c>
      <c r="F77" s="78" t="s">
        <v>266</v>
      </c>
      <c r="G77" s="79">
        <v>19580812</v>
      </c>
    </row>
    <row r="78" spans="2:7">
      <c r="B78" s="18"/>
      <c r="C78" s="223"/>
      <c r="D78" s="223"/>
      <c r="E78" s="138" t="s">
        <v>267</v>
      </c>
      <c r="F78" s="78" t="s">
        <v>268</v>
      </c>
      <c r="G78" s="84">
        <v>2515266</v>
      </c>
    </row>
    <row r="79" spans="2:7" ht="16.5" thickBot="1">
      <c r="B79" s="18"/>
      <c r="C79" s="222" t="s">
        <v>269</v>
      </c>
      <c r="D79" s="224"/>
      <c r="E79" s="138"/>
      <c r="F79" s="85" t="s">
        <v>270</v>
      </c>
      <c r="G79" s="86">
        <f>SUM(G58:G78)</f>
        <v>77667163</v>
      </c>
    </row>
    <row r="80" spans="2:7">
      <c r="B80" s="18" t="s">
        <v>271</v>
      </c>
      <c r="C80" s="223" t="s">
        <v>236</v>
      </c>
      <c r="D80" s="223">
        <f>[36]Amortizaciones!D22</f>
        <v>0</v>
      </c>
      <c r="E80" s="138" t="s">
        <v>272</v>
      </c>
      <c r="F80" s="80" t="s">
        <v>273</v>
      </c>
      <c r="G80" s="81">
        <v>471452</v>
      </c>
    </row>
    <row r="81" spans="2:7">
      <c r="B81" s="18" t="s">
        <v>274</v>
      </c>
      <c r="C81" s="223" t="s">
        <v>240</v>
      </c>
      <c r="D81" s="223">
        <f>[36]Amortizaciones!D23</f>
        <v>0</v>
      </c>
      <c r="E81" s="138" t="s">
        <v>275</v>
      </c>
      <c r="F81" s="78" t="s">
        <v>276</v>
      </c>
      <c r="G81" s="79">
        <v>1516038</v>
      </c>
    </row>
    <row r="82" spans="2:7">
      <c r="B82" s="18" t="s">
        <v>277</v>
      </c>
      <c r="C82" s="223" t="s">
        <v>244</v>
      </c>
      <c r="D82" s="223">
        <f>[36]Amortizaciones!D24</f>
        <v>0</v>
      </c>
      <c r="E82" s="138" t="s">
        <v>278</v>
      </c>
      <c r="F82" s="78" t="s">
        <v>279</v>
      </c>
      <c r="G82" s="79">
        <v>1966786</v>
      </c>
    </row>
    <row r="83" spans="2:7">
      <c r="B83" s="18" t="s">
        <v>280</v>
      </c>
      <c r="C83" s="223" t="s">
        <v>248</v>
      </c>
      <c r="D83" s="223">
        <f>[36]Amortizaciones!D25</f>
        <v>0</v>
      </c>
      <c r="E83" s="138" t="s">
        <v>281</v>
      </c>
      <c r="F83" s="78" t="s">
        <v>282</v>
      </c>
      <c r="G83" s="79">
        <v>2260310</v>
      </c>
    </row>
    <row r="84" spans="2:7">
      <c r="B84" s="18" t="s">
        <v>283</v>
      </c>
      <c r="C84" s="223" t="s">
        <v>284</v>
      </c>
      <c r="D84" s="223">
        <v>0</v>
      </c>
      <c r="E84" s="138" t="s">
        <v>285</v>
      </c>
      <c r="F84" s="78" t="s">
        <v>286</v>
      </c>
      <c r="G84" s="79">
        <v>4672102</v>
      </c>
    </row>
    <row r="85" spans="2:7">
      <c r="B85" s="18" t="s">
        <v>287</v>
      </c>
      <c r="C85" s="223" t="s">
        <v>288</v>
      </c>
      <c r="D85" s="223">
        <f>[36]Amortizaciones!D27</f>
        <v>0</v>
      </c>
      <c r="E85" s="138" t="s">
        <v>289</v>
      </c>
      <c r="F85" s="78" t="s">
        <v>290</v>
      </c>
      <c r="G85" s="79">
        <v>824444</v>
      </c>
    </row>
    <row r="86" spans="2:7" ht="13.5" customHeight="1">
      <c r="B86" s="18" t="s">
        <v>291</v>
      </c>
      <c r="C86" s="223" t="s">
        <v>292</v>
      </c>
      <c r="D86" s="223">
        <f>[36]Amortizaciones!D28</f>
        <v>0</v>
      </c>
      <c r="E86" s="138" t="s">
        <v>293</v>
      </c>
      <c r="F86" s="78" t="s">
        <v>294</v>
      </c>
      <c r="G86" s="79">
        <v>866992</v>
      </c>
    </row>
    <row r="87" spans="2:7" ht="13.5" customHeight="1">
      <c r="B87" s="18" t="s">
        <v>295</v>
      </c>
      <c r="C87" s="223" t="s">
        <v>296</v>
      </c>
      <c r="D87" s="223">
        <f>[36]Amortizaciones!D29</f>
        <v>0</v>
      </c>
      <c r="E87" s="138" t="s">
        <v>297</v>
      </c>
      <c r="F87" s="78" t="s">
        <v>298</v>
      </c>
      <c r="G87" s="79">
        <v>140696</v>
      </c>
    </row>
    <row r="88" spans="2:7" ht="13.5" customHeight="1">
      <c r="B88" s="18" t="s">
        <v>299</v>
      </c>
      <c r="C88" s="223" t="s">
        <v>300</v>
      </c>
      <c r="D88" s="223">
        <f>[36]Amortizaciones!D30</f>
        <v>0</v>
      </c>
      <c r="E88" s="138" t="s">
        <v>301</v>
      </c>
      <c r="F88" s="78" t="s">
        <v>302</v>
      </c>
      <c r="G88" s="79">
        <v>984062</v>
      </c>
    </row>
    <row r="89" spans="2:7">
      <c r="B89" s="18" t="s">
        <v>303</v>
      </c>
      <c r="C89" s="223" t="s">
        <v>212</v>
      </c>
      <c r="D89" s="223">
        <f>[36]Amortizaciones!D31</f>
        <v>0</v>
      </c>
      <c r="E89" s="138" t="s">
        <v>304</v>
      </c>
      <c r="F89" s="78" t="s">
        <v>305</v>
      </c>
      <c r="G89" s="79">
        <v>2068704</v>
      </c>
    </row>
    <row r="90" spans="2:7" ht="14.25" customHeight="1">
      <c r="B90" s="18" t="s">
        <v>306</v>
      </c>
      <c r="C90" s="223" t="s">
        <v>228</v>
      </c>
      <c r="D90" s="223">
        <f>[36]Amortizaciones!D32</f>
        <v>0</v>
      </c>
      <c r="E90" s="138" t="s">
        <v>307</v>
      </c>
      <c r="F90" s="78" t="s">
        <v>308</v>
      </c>
      <c r="G90" s="79">
        <v>1041363</v>
      </c>
    </row>
    <row r="91" spans="2:7" ht="14.25" customHeight="1">
      <c r="B91" s="18" t="s">
        <v>309</v>
      </c>
      <c r="C91" s="223" t="s">
        <v>310</v>
      </c>
      <c r="D91" s="223">
        <f>SUM(D80:D90)</f>
        <v>0</v>
      </c>
      <c r="E91" s="225" t="s">
        <v>311</v>
      </c>
      <c r="F91" s="78" t="s">
        <v>312</v>
      </c>
      <c r="G91" s="79">
        <v>2035405</v>
      </c>
    </row>
    <row r="92" spans="2:7" ht="14.25" customHeight="1">
      <c r="B92" s="18"/>
      <c r="C92" s="226" t="s">
        <v>313</v>
      </c>
      <c r="D92" s="223">
        <f>D77+D91</f>
        <v>11623263</v>
      </c>
      <c r="E92" s="225" t="s">
        <v>314</v>
      </c>
      <c r="F92" s="78" t="s">
        <v>315</v>
      </c>
      <c r="G92" s="79">
        <v>0</v>
      </c>
    </row>
    <row r="93" spans="2:7">
      <c r="C93" s="116"/>
      <c r="D93" s="116"/>
      <c r="E93" s="225" t="s">
        <v>316</v>
      </c>
      <c r="F93" s="78" t="s">
        <v>317</v>
      </c>
      <c r="G93" s="79">
        <v>2840581</v>
      </c>
    </row>
    <row r="94" spans="2:7">
      <c r="C94" s="116"/>
      <c r="D94" s="116"/>
      <c r="E94" s="225" t="s">
        <v>318</v>
      </c>
      <c r="F94" s="78" t="s">
        <v>319</v>
      </c>
      <c r="G94" s="84">
        <v>725909</v>
      </c>
    </row>
    <row r="95" spans="2:7" ht="13.5" customHeight="1" thickBot="1">
      <c r="C95" s="116"/>
      <c r="D95" s="116"/>
      <c r="E95" s="138"/>
      <c r="F95" s="85" t="s">
        <v>320</v>
      </c>
      <c r="G95" s="86">
        <f>SUM(G80:G94)</f>
        <v>22414844</v>
      </c>
    </row>
    <row r="96" spans="2:7">
      <c r="C96" s="116"/>
      <c r="D96" s="116"/>
      <c r="E96" s="225" t="s">
        <v>321</v>
      </c>
      <c r="F96" s="80" t="s">
        <v>322</v>
      </c>
      <c r="G96" s="81">
        <v>6613310</v>
      </c>
    </row>
    <row r="97" spans="2:7">
      <c r="C97" s="116"/>
      <c r="D97" s="116"/>
      <c r="E97" s="225" t="s">
        <v>323</v>
      </c>
      <c r="F97" s="78" t="s">
        <v>324</v>
      </c>
      <c r="G97" s="79">
        <v>3573591</v>
      </c>
    </row>
    <row r="98" spans="2:7">
      <c r="C98" s="116"/>
      <c r="D98" s="116"/>
      <c r="E98" s="225" t="s">
        <v>325</v>
      </c>
      <c r="F98" s="78" t="s">
        <v>326</v>
      </c>
      <c r="G98" s="79">
        <v>915617</v>
      </c>
    </row>
    <row r="99" spans="2:7">
      <c r="C99" s="116"/>
      <c r="D99" s="116"/>
      <c r="E99" s="225" t="s">
        <v>327</v>
      </c>
      <c r="F99" s="78" t="s">
        <v>328</v>
      </c>
      <c r="G99" s="79">
        <v>3220200</v>
      </c>
    </row>
    <row r="100" spans="2:7">
      <c r="C100" s="116"/>
      <c r="D100" s="116"/>
      <c r="E100" s="225" t="s">
        <v>329</v>
      </c>
      <c r="F100" s="78" t="s">
        <v>330</v>
      </c>
      <c r="G100" s="84">
        <v>479368</v>
      </c>
    </row>
    <row r="101" spans="2:7" ht="12.75" customHeight="1" thickBot="1">
      <c r="C101" s="116"/>
      <c r="D101" s="116"/>
      <c r="E101" s="138"/>
      <c r="F101" s="85" t="s">
        <v>331</v>
      </c>
      <c r="G101" s="86">
        <f>SUM(G96:G100)</f>
        <v>14802086</v>
      </c>
    </row>
    <row r="102" spans="2:7" ht="12.75" customHeight="1" thickBot="1">
      <c r="C102" s="116"/>
      <c r="D102" s="116"/>
      <c r="E102" s="225"/>
      <c r="F102" s="110" t="s">
        <v>332</v>
      </c>
      <c r="G102" s="111">
        <f>[36]Amortizaciones!D19</f>
        <v>11623263</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775610332</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107081529</v>
      </c>
    </row>
    <row r="110" spans="2:7" ht="6.75" customHeight="1" thickBot="1">
      <c r="B110" s="5"/>
      <c r="C110" s="227"/>
      <c r="D110" s="227"/>
      <c r="E110" s="138"/>
      <c r="F110" s="116"/>
      <c r="G110" s="116"/>
    </row>
    <row r="111" spans="2:7" ht="15" customHeight="1" thickBot="1">
      <c r="C111" s="72" t="s">
        <v>269</v>
      </c>
      <c r="D111" s="118">
        <f>+[36]E.S.P.!D6</f>
        <v>2021</v>
      </c>
      <c r="E111" s="225"/>
      <c r="F111" s="72" t="s">
        <v>340</v>
      </c>
      <c r="G111" s="118">
        <f>+[36]E.S.P.!D6</f>
        <v>2021</v>
      </c>
    </row>
    <row r="112" spans="2:7" ht="13.7" customHeight="1">
      <c r="B112" s="5" t="s">
        <v>341</v>
      </c>
      <c r="C112" s="119" t="s">
        <v>342</v>
      </c>
      <c r="D112" s="120">
        <v>1427398</v>
      </c>
      <c r="E112" s="138" t="s">
        <v>343</v>
      </c>
      <c r="F112" s="119" t="s">
        <v>308</v>
      </c>
      <c r="G112" s="120">
        <v>0</v>
      </c>
    </row>
    <row r="113" spans="2:7" ht="13.7" customHeight="1">
      <c r="B113" s="5" t="s">
        <v>344</v>
      </c>
      <c r="C113" s="121" t="s">
        <v>345</v>
      </c>
      <c r="D113" s="122">
        <v>41318063</v>
      </c>
      <c r="E113" s="138" t="s">
        <v>346</v>
      </c>
      <c r="F113" s="121" t="s">
        <v>347</v>
      </c>
      <c r="G113" s="122">
        <v>0</v>
      </c>
    </row>
    <row r="114" spans="2:7" ht="13.7" customHeight="1">
      <c r="B114" s="5" t="s">
        <v>348</v>
      </c>
      <c r="C114" s="121" t="s">
        <v>48</v>
      </c>
      <c r="D114" s="122">
        <v>5212787</v>
      </c>
      <c r="E114" s="138" t="s">
        <v>349</v>
      </c>
      <c r="F114" s="121" t="s">
        <v>350</v>
      </c>
      <c r="G114" s="122">
        <v>1266875</v>
      </c>
    </row>
    <row r="115" spans="2:7" ht="13.7" customHeight="1">
      <c r="B115" s="5" t="s">
        <v>351</v>
      </c>
      <c r="C115" s="121" t="s">
        <v>352</v>
      </c>
      <c r="D115" s="122">
        <v>0</v>
      </c>
      <c r="E115" s="138" t="s">
        <v>353</v>
      </c>
      <c r="F115" s="121" t="s">
        <v>354</v>
      </c>
      <c r="G115" s="122">
        <v>0</v>
      </c>
    </row>
    <row r="116" spans="2:7" ht="13.7" customHeight="1">
      <c r="B116" s="5" t="s">
        <v>355</v>
      </c>
      <c r="C116" s="121" t="s">
        <v>356</v>
      </c>
      <c r="D116" s="122">
        <v>3627049</v>
      </c>
      <c r="E116" s="138" t="s">
        <v>357</v>
      </c>
      <c r="F116" s="121" t="s">
        <v>358</v>
      </c>
      <c r="G116" s="122">
        <v>0</v>
      </c>
    </row>
    <row r="117" spans="2:7" ht="13.7" customHeight="1">
      <c r="B117" s="5" t="s">
        <v>359</v>
      </c>
      <c r="C117" s="121" t="s">
        <v>360</v>
      </c>
      <c r="D117" s="122">
        <v>1921867</v>
      </c>
      <c r="E117" s="138" t="s">
        <v>361</v>
      </c>
      <c r="F117" s="121" t="s">
        <v>362</v>
      </c>
      <c r="G117" s="122">
        <v>256255</v>
      </c>
    </row>
    <row r="118" spans="2:7" ht="13.7" customHeight="1">
      <c r="B118" s="5" t="s">
        <v>363</v>
      </c>
      <c r="C118" s="121" t="s">
        <v>364</v>
      </c>
      <c r="D118" s="122">
        <v>0</v>
      </c>
      <c r="E118" s="138" t="s">
        <v>365</v>
      </c>
      <c r="F118" s="121" t="s">
        <v>366</v>
      </c>
      <c r="G118" s="122">
        <v>0</v>
      </c>
    </row>
    <row r="119" spans="2:7" ht="13.7" customHeight="1">
      <c r="B119" s="5" t="s">
        <v>367</v>
      </c>
      <c r="C119" s="121" t="s">
        <v>368</v>
      </c>
      <c r="D119" s="122">
        <v>2845470</v>
      </c>
      <c r="E119" s="138" t="s">
        <v>369</v>
      </c>
      <c r="F119" s="121" t="s">
        <v>370</v>
      </c>
      <c r="G119" s="122">
        <v>0</v>
      </c>
    </row>
    <row r="120" spans="2:7" ht="13.7" customHeight="1">
      <c r="B120" s="5" t="s">
        <v>371</v>
      </c>
      <c r="C120" s="121" t="s">
        <v>372</v>
      </c>
      <c r="D120" s="122">
        <v>2203426</v>
      </c>
      <c r="E120" s="138" t="s">
        <v>373</v>
      </c>
      <c r="F120" s="121" t="s">
        <v>374</v>
      </c>
      <c r="G120" s="122">
        <v>0</v>
      </c>
    </row>
    <row r="121" spans="2:7" ht="13.7" customHeight="1">
      <c r="B121" s="5" t="s">
        <v>375</v>
      </c>
      <c r="C121" s="78" t="s">
        <v>376</v>
      </c>
      <c r="D121" s="122">
        <v>1959818</v>
      </c>
      <c r="E121" s="138" t="s">
        <v>377</v>
      </c>
      <c r="F121" s="121" t="s">
        <v>378</v>
      </c>
      <c r="G121" s="122">
        <f>3891361-2387615</f>
        <v>1503746</v>
      </c>
    </row>
    <row r="122" spans="2:7" ht="13.7" customHeight="1" thickBot="1">
      <c r="B122" s="5"/>
      <c r="C122" s="85" t="s">
        <v>379</v>
      </c>
      <c r="D122" s="94">
        <f>SUM(D112:D121)</f>
        <v>60515878</v>
      </c>
      <c r="E122" s="138" t="s">
        <v>380</v>
      </c>
      <c r="F122" s="78" t="s">
        <v>381</v>
      </c>
      <c r="G122" s="79">
        <v>181218</v>
      </c>
    </row>
    <row r="123" spans="2:7" ht="13.7" customHeight="1" thickBot="1">
      <c r="B123" s="5" t="s">
        <v>382</v>
      </c>
      <c r="C123" s="123" t="s">
        <v>308</v>
      </c>
      <c r="D123" s="120">
        <v>0</v>
      </c>
      <c r="E123" s="225"/>
      <c r="F123" s="85" t="s">
        <v>383</v>
      </c>
      <c r="G123" s="94">
        <f>SUM(G112:G122)</f>
        <v>3208094</v>
      </c>
    </row>
    <row r="124" spans="2:7" ht="13.7" customHeight="1">
      <c r="B124" s="5" t="s">
        <v>384</v>
      </c>
      <c r="C124" s="121" t="s">
        <v>312</v>
      </c>
      <c r="D124" s="122">
        <v>0</v>
      </c>
      <c r="E124" s="138" t="s">
        <v>385</v>
      </c>
      <c r="F124" s="121" t="s">
        <v>386</v>
      </c>
      <c r="G124" s="122">
        <v>99822</v>
      </c>
    </row>
    <row r="125" spans="2:7" ht="13.7" customHeight="1">
      <c r="B125" s="5" t="s">
        <v>387</v>
      </c>
      <c r="C125" s="78" t="s">
        <v>388</v>
      </c>
      <c r="D125" s="122">
        <v>0</v>
      </c>
      <c r="E125" s="138" t="s">
        <v>389</v>
      </c>
      <c r="F125" s="121" t="s">
        <v>390</v>
      </c>
      <c r="G125" s="122">
        <v>232904</v>
      </c>
    </row>
    <row r="126" spans="2:7" ht="13.7" customHeight="1" thickBot="1">
      <c r="B126" s="5"/>
      <c r="C126" s="85" t="s">
        <v>391</v>
      </c>
      <c r="D126" s="94">
        <f>SUM(D123:D125)</f>
        <v>0</v>
      </c>
      <c r="E126" s="138" t="s">
        <v>392</v>
      </c>
      <c r="F126" s="121" t="s">
        <v>393</v>
      </c>
      <c r="G126" s="122">
        <v>878735</v>
      </c>
    </row>
    <row r="127" spans="2:7" ht="13.7" customHeight="1">
      <c r="B127" s="5" t="s">
        <v>394</v>
      </c>
      <c r="C127" s="119" t="s">
        <v>273</v>
      </c>
      <c r="D127" s="120">
        <v>1805344</v>
      </c>
      <c r="E127" s="138" t="s">
        <v>395</v>
      </c>
      <c r="F127" s="121" t="s">
        <v>396</v>
      </c>
      <c r="G127" s="122">
        <v>0</v>
      </c>
    </row>
    <row r="128" spans="2:7" ht="13.7" customHeight="1">
      <c r="B128" s="5" t="s">
        <v>397</v>
      </c>
      <c r="C128" s="121" t="s">
        <v>398</v>
      </c>
      <c r="D128" s="122">
        <v>1435235</v>
      </c>
      <c r="E128" s="138" t="s">
        <v>399</v>
      </c>
      <c r="F128" s="121" t="s">
        <v>400</v>
      </c>
      <c r="G128" s="122">
        <v>0</v>
      </c>
    </row>
    <row r="129" spans="2:7" ht="13.7" customHeight="1">
      <c r="B129" s="5" t="s">
        <v>401</v>
      </c>
      <c r="C129" s="121" t="s">
        <v>276</v>
      </c>
      <c r="D129" s="122">
        <v>536631</v>
      </c>
      <c r="E129" s="138" t="s">
        <v>402</v>
      </c>
      <c r="F129" s="121" t="s">
        <v>403</v>
      </c>
      <c r="G129" s="122">
        <v>803400</v>
      </c>
    </row>
    <row r="130" spans="2:7" ht="13.7" customHeight="1">
      <c r="B130" s="5" t="s">
        <v>404</v>
      </c>
      <c r="C130" s="121" t="s">
        <v>282</v>
      </c>
      <c r="D130" s="122">
        <v>6234</v>
      </c>
      <c r="E130" s="138" t="s">
        <v>405</v>
      </c>
      <c r="F130" s="121" t="s">
        <v>406</v>
      </c>
      <c r="G130" s="122">
        <v>0</v>
      </c>
    </row>
    <row r="131" spans="2:7" ht="13.7" customHeight="1">
      <c r="B131" s="5" t="s">
        <v>407</v>
      </c>
      <c r="C131" s="121" t="s">
        <v>286</v>
      </c>
      <c r="D131" s="122">
        <v>716311</v>
      </c>
      <c r="E131" s="138" t="s">
        <v>408</v>
      </c>
      <c r="F131" s="121" t="s">
        <v>409</v>
      </c>
      <c r="G131" s="122">
        <v>0</v>
      </c>
    </row>
    <row r="132" spans="2:7" ht="13.7" customHeight="1">
      <c r="B132" s="5" t="s">
        <v>410</v>
      </c>
      <c r="C132" s="121" t="s">
        <v>290</v>
      </c>
      <c r="D132" s="122">
        <v>187402</v>
      </c>
      <c r="E132" s="138" t="s">
        <v>411</v>
      </c>
      <c r="F132" s="121" t="s">
        <v>412</v>
      </c>
      <c r="G132" s="122">
        <v>37510</v>
      </c>
    </row>
    <row r="133" spans="2:7" ht="13.7" customHeight="1">
      <c r="B133" s="5" t="s">
        <v>413</v>
      </c>
      <c r="C133" s="121" t="s">
        <v>294</v>
      </c>
      <c r="D133" s="122">
        <v>187407</v>
      </c>
      <c r="E133" s="138" t="s">
        <v>414</v>
      </c>
      <c r="F133" s="121" t="s">
        <v>415</v>
      </c>
      <c r="G133" s="122">
        <v>289521</v>
      </c>
    </row>
    <row r="134" spans="2:7" ht="13.7" customHeight="1">
      <c r="B134" s="5" t="s">
        <v>416</v>
      </c>
      <c r="C134" s="121" t="s">
        <v>417</v>
      </c>
      <c r="D134" s="122">
        <v>1976691</v>
      </c>
      <c r="E134" s="138" t="s">
        <v>418</v>
      </c>
      <c r="F134" s="121" t="s">
        <v>419</v>
      </c>
      <c r="G134" s="122">
        <v>0</v>
      </c>
    </row>
    <row r="135" spans="2:7" ht="13.7" customHeight="1">
      <c r="B135" s="5" t="s">
        <v>420</v>
      </c>
      <c r="C135" s="121" t="s">
        <v>421</v>
      </c>
      <c r="D135" s="122">
        <v>0</v>
      </c>
      <c r="E135" s="138" t="s">
        <v>422</v>
      </c>
      <c r="F135" s="121" t="s">
        <v>423</v>
      </c>
      <c r="G135" s="122">
        <v>0</v>
      </c>
    </row>
    <row r="136" spans="2:7" ht="13.7" customHeight="1">
      <c r="B136" s="5" t="s">
        <v>424</v>
      </c>
      <c r="C136" s="121" t="s">
        <v>317</v>
      </c>
      <c r="D136" s="122">
        <v>16630901</v>
      </c>
      <c r="E136" s="138" t="s">
        <v>425</v>
      </c>
      <c r="F136" s="121" t="s">
        <v>426</v>
      </c>
      <c r="G136" s="122">
        <v>0</v>
      </c>
    </row>
    <row r="137" spans="2:7" ht="13.7" customHeight="1">
      <c r="B137" s="5" t="s">
        <v>427</v>
      </c>
      <c r="C137" s="78" t="s">
        <v>319</v>
      </c>
      <c r="D137" s="124">
        <v>785926</v>
      </c>
      <c r="E137" s="138" t="s">
        <v>428</v>
      </c>
      <c r="F137" s="121" t="s">
        <v>429</v>
      </c>
      <c r="G137" s="122">
        <v>4899501</v>
      </c>
    </row>
    <row r="138" spans="2:7" ht="13.7" customHeight="1" thickBot="1">
      <c r="B138" s="5"/>
      <c r="C138" s="85" t="s">
        <v>320</v>
      </c>
      <c r="D138" s="94">
        <f>SUM(D127:D137)</f>
        <v>24268082</v>
      </c>
      <c r="E138" s="138" t="s">
        <v>430</v>
      </c>
      <c r="F138" s="78" t="s">
        <v>431</v>
      </c>
      <c r="G138" s="79">
        <v>257198</v>
      </c>
    </row>
    <row r="139" spans="2:7" ht="13.7" customHeight="1" thickBot="1">
      <c r="B139" s="5" t="s">
        <v>432</v>
      </c>
      <c r="C139" s="119" t="s">
        <v>326</v>
      </c>
      <c r="D139" s="120">
        <v>55789</v>
      </c>
      <c r="E139" s="228"/>
      <c r="F139" s="85" t="s">
        <v>433</v>
      </c>
      <c r="G139" s="94">
        <f>SUM(G124:G138)</f>
        <v>7498591</v>
      </c>
    </row>
    <row r="140" spans="2:7" ht="13.7" customHeight="1" thickBot="1">
      <c r="B140" s="5" t="s">
        <v>434</v>
      </c>
      <c r="C140" s="121" t="s">
        <v>328</v>
      </c>
      <c r="D140" s="122">
        <v>2268267</v>
      </c>
      <c r="E140" s="228"/>
      <c r="F140" s="110" t="s">
        <v>435</v>
      </c>
      <c r="G140" s="126">
        <f>G123-G139</f>
        <v>-4290497</v>
      </c>
    </row>
    <row r="141" spans="2:7" ht="13.7" customHeight="1">
      <c r="B141" s="5" t="s">
        <v>436</v>
      </c>
      <c r="C141" s="78" t="s">
        <v>330</v>
      </c>
      <c r="D141" s="124">
        <v>77784</v>
      </c>
      <c r="E141" s="229"/>
      <c r="F141" s="116"/>
      <c r="G141" s="116"/>
    </row>
    <row r="142" spans="2:7" ht="13.7" customHeight="1" thickBot="1">
      <c r="B142" s="5"/>
      <c r="C142" s="85" t="s">
        <v>331</v>
      </c>
      <c r="D142" s="94">
        <f>SUM(D139:D141)</f>
        <v>2401840</v>
      </c>
      <c r="E142" s="229"/>
      <c r="F142" s="116"/>
      <c r="G142" s="116"/>
    </row>
    <row r="143" spans="2:7" ht="13.5" customHeight="1" thickBot="1">
      <c r="B143" s="5"/>
      <c r="C143" s="110" t="s">
        <v>332</v>
      </c>
      <c r="D143" s="126">
        <f>[36]Amortizaciones!D33</f>
        <v>0</v>
      </c>
      <c r="E143" s="138"/>
      <c r="F143" s="72" t="s">
        <v>437</v>
      </c>
      <c r="G143" s="118">
        <f>+[36]E.S.P.!D6</f>
        <v>2021</v>
      </c>
    </row>
    <row r="144" spans="2:7" ht="13.7" customHeight="1">
      <c r="B144" s="5" t="s">
        <v>438</v>
      </c>
      <c r="C144" s="119" t="s">
        <v>439</v>
      </c>
      <c r="D144" s="120">
        <v>0</v>
      </c>
      <c r="E144" s="138" t="s">
        <v>440</v>
      </c>
      <c r="F144" s="119" t="s">
        <v>441</v>
      </c>
      <c r="G144" s="120">
        <v>574415</v>
      </c>
    </row>
    <row r="145" spans="2:7" ht="13.7" customHeight="1">
      <c r="B145" s="5" t="s">
        <v>442</v>
      </c>
      <c r="C145" s="121" t="s">
        <v>443</v>
      </c>
      <c r="D145" s="122">
        <v>0</v>
      </c>
      <c r="E145" s="138" t="s">
        <v>444</v>
      </c>
      <c r="F145" s="121" t="s">
        <v>445</v>
      </c>
      <c r="G145" s="122">
        <v>2565371</v>
      </c>
    </row>
    <row r="146" spans="2:7" ht="13.7" customHeight="1">
      <c r="B146" s="5" t="s">
        <v>446</v>
      </c>
      <c r="C146" s="128" t="s">
        <v>447</v>
      </c>
      <c r="D146" s="122">
        <v>0</v>
      </c>
      <c r="E146" s="138" t="s">
        <v>448</v>
      </c>
      <c r="F146" s="121" t="s">
        <v>449</v>
      </c>
      <c r="G146" s="122">
        <v>0</v>
      </c>
    </row>
    <row r="147" spans="2:7" ht="13.7" customHeight="1">
      <c r="B147" s="5" t="s">
        <v>450</v>
      </c>
      <c r="C147" s="78" t="s">
        <v>451</v>
      </c>
      <c r="D147" s="124">
        <v>0</v>
      </c>
      <c r="E147" s="138" t="s">
        <v>452</v>
      </c>
      <c r="F147" s="121" t="s">
        <v>453</v>
      </c>
      <c r="G147" s="122">
        <v>0</v>
      </c>
    </row>
    <row r="148" spans="2:7" ht="13.7" customHeight="1" thickBot="1">
      <c r="B148" s="5"/>
      <c r="C148" s="85" t="s">
        <v>518</v>
      </c>
      <c r="D148" s="94">
        <f>SUM(D144:D147)</f>
        <v>0</v>
      </c>
      <c r="E148" s="138" t="s">
        <v>454</v>
      </c>
      <c r="F148" s="121" t="s">
        <v>455</v>
      </c>
      <c r="G148" s="122">
        <v>0</v>
      </c>
    </row>
    <row r="149" spans="2:7" ht="13.7" customHeight="1">
      <c r="B149" s="5" t="s">
        <v>456</v>
      </c>
      <c r="C149" s="119" t="s">
        <v>457</v>
      </c>
      <c r="D149" s="120">
        <v>0</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0</v>
      </c>
    </row>
    <row r="152" spans="2:7" ht="13.7" customHeight="1" thickBot="1">
      <c r="B152" s="5"/>
      <c r="C152" s="85" t="s">
        <v>516</v>
      </c>
      <c r="D152" s="94">
        <f>SUM(D149:D151)</f>
        <v>0</v>
      </c>
      <c r="E152" s="138" t="s">
        <v>469</v>
      </c>
      <c r="F152" s="121" t="s">
        <v>470</v>
      </c>
      <c r="G152" s="122">
        <v>0</v>
      </c>
    </row>
    <row r="153" spans="2:7" ht="15" customHeight="1" thickBot="1">
      <c r="B153" s="5"/>
      <c r="C153" s="110" t="s">
        <v>471</v>
      </c>
      <c r="D153" s="129">
        <f>D122+D126+D138+D142+D143+D148+D152</f>
        <v>87185800</v>
      </c>
      <c r="E153" s="138" t="s">
        <v>472</v>
      </c>
      <c r="F153" s="78" t="s">
        <v>473</v>
      </c>
      <c r="G153" s="79">
        <v>105524</v>
      </c>
    </row>
    <row r="154" spans="2:7" ht="13.7" customHeight="1" thickBot="1">
      <c r="B154" s="5"/>
      <c r="C154" s="116"/>
      <c r="D154" s="116"/>
      <c r="E154" s="138"/>
      <c r="F154" s="85" t="s">
        <v>474</v>
      </c>
      <c r="G154" s="94">
        <f>SUM(G144:G153)</f>
        <v>3245310</v>
      </c>
    </row>
    <row r="155" spans="2:7" ht="13.5" customHeight="1" thickBot="1">
      <c r="B155" s="5"/>
      <c r="C155" s="72" t="s">
        <v>475</v>
      </c>
      <c r="D155" s="103">
        <f>G109-D153</f>
        <v>19895729</v>
      </c>
      <c r="E155" s="138" t="s">
        <v>476</v>
      </c>
      <c r="F155" s="119" t="s">
        <v>477</v>
      </c>
      <c r="G155" s="120">
        <v>1359312</v>
      </c>
    </row>
    <row r="156" spans="2:7" ht="13.7" customHeight="1">
      <c r="C156" s="116"/>
      <c r="D156" s="116"/>
      <c r="E156" s="138" t="s">
        <v>478</v>
      </c>
      <c r="F156" s="121" t="s">
        <v>479</v>
      </c>
      <c r="G156" s="122">
        <v>2609498</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0</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7222220</v>
      </c>
    </row>
    <row r="166" spans="3:7" ht="13.7" customHeight="1">
      <c r="C166" s="116"/>
      <c r="D166" s="116"/>
      <c r="E166" s="138" t="s">
        <v>498</v>
      </c>
      <c r="F166" s="121" t="s">
        <v>499</v>
      </c>
      <c r="G166" s="122">
        <v>443258</v>
      </c>
    </row>
    <row r="167" spans="3:7" ht="13.7" customHeight="1">
      <c r="C167" s="116"/>
      <c r="D167" s="116"/>
      <c r="E167" s="138" t="s">
        <v>500</v>
      </c>
      <c r="F167" s="78" t="s">
        <v>501</v>
      </c>
      <c r="G167" s="79">
        <v>132832</v>
      </c>
    </row>
    <row r="168" spans="3:7" ht="13.7" customHeight="1" thickBot="1">
      <c r="C168" s="116"/>
      <c r="D168" s="116"/>
      <c r="E168" s="138"/>
      <c r="F168" s="85" t="s">
        <v>502</v>
      </c>
      <c r="G168" s="94">
        <f>SUM(G155:G167)</f>
        <v>11767120</v>
      </c>
    </row>
    <row r="169" spans="3:7" ht="13.7" customHeight="1" thickBot="1">
      <c r="C169" s="116"/>
      <c r="D169" s="116"/>
      <c r="E169" s="138"/>
      <c r="F169" s="110" t="s">
        <v>503</v>
      </c>
      <c r="G169" s="126">
        <f>G154-G168</f>
        <v>-8521810</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7083422</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7083422</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23" priority="2" stopIfTrue="1" operator="greaterThan">
      <formula>50</formula>
    </cfRule>
    <cfRule type="cellIs" dxfId="122" priority="10" stopIfTrue="1" operator="equal">
      <formula>0</formula>
    </cfRule>
  </conditionalFormatting>
  <conditionalFormatting sqref="D7:D61">
    <cfRule type="cellIs" dxfId="121" priority="8" stopIfTrue="1" operator="between">
      <formula>-0.1</formula>
      <formula>-50</formula>
    </cfRule>
    <cfRule type="cellIs" dxfId="120" priority="9" stopIfTrue="1" operator="between">
      <formula>0.1</formula>
      <formula>50</formula>
    </cfRule>
  </conditionalFormatting>
  <conditionalFormatting sqref="G152:G181 G7:G150">
    <cfRule type="cellIs" dxfId="119" priority="6" stopIfTrue="1" operator="between">
      <formula>-0.1</formula>
      <formula>-50</formula>
    </cfRule>
    <cfRule type="cellIs" dxfId="118" priority="7" stopIfTrue="1" operator="between">
      <formula>0.1</formula>
      <formula>50</formula>
    </cfRule>
  </conditionalFormatting>
  <conditionalFormatting sqref="D111:D155">
    <cfRule type="cellIs" dxfId="117" priority="4" stopIfTrue="1" operator="between">
      <formula>-0.1</formula>
      <formula>-50</formula>
    </cfRule>
    <cfRule type="cellIs" dxfId="116" priority="5" stopIfTrue="1" operator="between">
      <formula>0.1</formula>
      <formula>50</formula>
    </cfRule>
  </conditionalFormatting>
  <conditionalFormatting sqref="G165">
    <cfRule type="expression" dxfId="115" priority="3" stopIfTrue="1">
      <formula>AND($G$165&gt;0,$G$151&gt;0)</formula>
    </cfRule>
  </conditionalFormatting>
  <conditionalFormatting sqref="G151">
    <cfRule type="expression" dxfId="114" priority="1" stopIfTrue="1">
      <formula>AND($G$151&gt;0,$G$165&gt;0)</formula>
    </cfRule>
  </conditionalFormatting>
  <dataValidations count="11">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 operator="greaterThanOrEqual" allowBlank="1" errorTitle="Error de datos" error="Debe ingresar un valor entero positivo" sqref="F6:F107 F203 C13:C47 C106:C153 F171 F174:F178 F180 F111:F119 C7:C10 F121:F140 F143:F169 C49:C62 C155 F109"/>
    <dataValidation allowBlank="1" sqref="G204"/>
    <dataValidation allowBlank="1" errorTitle="Error de datos" error="Debe introducir una fecha válida" sqref="E3"/>
    <dataValidation type="whole" allowBlank="1" showErrorMessage="1" errorTitle="Error de datos" error="Debe ingresar un valor entre 1 y 12" sqref="G1:G3">
      <formula1>1</formula1>
      <formula2>12</formula2>
    </dataValidation>
    <dataValidation type="custom" operator="greaterThan" showInputMessage="1" showErrorMessage="1" errorTitle="eee" sqref="G7:G140 D62:D155 G152:G164 G166:G181 G144:G150 D13:D55">
      <formula1>OR(D7=0, D7&gt;50)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D56">
      <formula1>OR(D56=0, D56&lt;50)</formula1>
    </dataValidation>
    <dataValidation type="whole" operator="greaterThan" showInputMessage="1" showErrorMessage="1" errorTitle="eee" error="Valores mayores a $50" sqref="D7">
      <formula1>50</formula1>
    </dataValidation>
    <dataValidation type="whole" operator="greaterThan" allowBlank="1" showInputMessage="1" showErrorMessage="1" sqref="D8:D12">
      <formula1>50</formula1>
    </dataValidation>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s>
  <printOptions horizontalCentered="1"/>
  <pageMargins left="0.23622047244094491" right="0.23622047244094491" top="0.35433070866141736" bottom="0.74803149606299213" header="0.31496062992125984" footer="0.31496062992125984"/>
  <pageSetup paperSize="9" scale="51" orientation="portrait" r:id="rId1"/>
  <headerFooter alignWithMargins="0"/>
  <rowBreaks count="3" manualBreakCount="3">
    <brk id="79" max="16383" man="1"/>
    <brk id="181" min="2" max="8" man="1"/>
    <brk id="185" min="2" max="8" man="1"/>
  </rowBreaks>
  <ignoredErrors>
    <ignoredError sqref="D9 D50 G121" unlockedFormula="1"/>
    <ignoredError sqref="E7:E1048576" numberStoredAsText="1"/>
    <ignoredError sqref="G40" formulaRange="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G79" sqref="G79"/>
    </sheetView>
  </sheetViews>
  <sheetFormatPr baseColWidth="10" defaultColWidth="0" defaultRowHeight="15.75" zeroHeight="1"/>
  <cols>
    <col min="1" max="1" width="3" style="1" customWidth="1"/>
    <col min="2" max="2" width="14.28515625" style="6" hidden="1" customWidth="1"/>
    <col min="3" max="3" width="56.140625" style="19" customWidth="1"/>
    <col min="4" max="4" width="21" style="19" customWidth="1"/>
    <col min="5" max="5" width="3.85546875" style="13" customWidth="1"/>
    <col min="6" max="6" width="57.28515625" style="19" customWidth="1"/>
    <col min="7" max="7" width="21" style="19" customWidth="1"/>
    <col min="8" max="8" width="3.5703125" style="4" customWidth="1"/>
    <col min="9" max="16384" width="0" style="4" hidden="1"/>
  </cols>
  <sheetData>
    <row r="1" spans="1:9">
      <c r="B1" s="2"/>
      <c r="C1" s="255" t="s">
        <v>0</v>
      </c>
      <c r="D1" s="258"/>
      <c r="E1" s="253" t="s">
        <v>512</v>
      </c>
      <c r="F1" s="253"/>
      <c r="G1" s="136"/>
      <c r="H1" s="3"/>
    </row>
    <row r="2" spans="1:9">
      <c r="B2" s="5"/>
      <c r="C2" s="255" t="s">
        <v>1</v>
      </c>
      <c r="D2" s="258"/>
      <c r="E2" s="253" t="s">
        <v>511</v>
      </c>
      <c r="F2" s="253"/>
      <c r="G2" s="136"/>
      <c r="H2" s="3"/>
    </row>
    <row r="3" spans="1:9">
      <c r="B3" s="5"/>
      <c r="C3" s="263" t="s">
        <v>2</v>
      </c>
      <c r="D3" s="263"/>
      <c r="E3" s="254" t="s">
        <v>3</v>
      </c>
      <c r="F3" s="254"/>
      <c r="G3" s="136"/>
      <c r="H3" s="3"/>
    </row>
    <row r="4" spans="1:9" ht="12.75" customHeight="1" thickBot="1">
      <c r="C4" s="65"/>
      <c r="D4" s="7"/>
      <c r="E4" s="8"/>
      <c r="F4" s="9"/>
      <c r="G4" s="10"/>
    </row>
    <row r="5" spans="1:9" ht="16.5" customHeight="1" thickBot="1">
      <c r="B5" s="11"/>
      <c r="C5" s="72" t="s">
        <v>4</v>
      </c>
      <c r="D5" s="73" t="s">
        <v>5</v>
      </c>
      <c r="E5" s="137"/>
      <c r="F5" s="72" t="s">
        <v>6</v>
      </c>
      <c r="G5" s="73" t="s">
        <v>5</v>
      </c>
      <c r="I5" s="12"/>
    </row>
    <row r="6" spans="1:9" ht="15" customHeight="1" thickBot="1">
      <c r="B6" s="11"/>
      <c r="C6" s="75" t="s">
        <v>7</v>
      </c>
      <c r="D6" s="76">
        <f>+[37]E.S.P.!D6</f>
        <v>2021</v>
      </c>
      <c r="E6" s="138"/>
      <c r="F6" s="75" t="s">
        <v>8</v>
      </c>
      <c r="G6" s="76">
        <f>+D6</f>
        <v>2021</v>
      </c>
      <c r="H6" s="12"/>
    </row>
    <row r="7" spans="1:9">
      <c r="B7" s="5" t="s">
        <v>9</v>
      </c>
      <c r="C7" s="78" t="s">
        <v>10</v>
      </c>
      <c r="D7" s="79">
        <f>SUM('ASOC.ESPAÑOLA:UNIVERSAL SPS'!D7)</f>
        <v>1195124958</v>
      </c>
      <c r="E7" s="138" t="s">
        <v>11</v>
      </c>
      <c r="F7" s="80" t="s">
        <v>12</v>
      </c>
      <c r="G7" s="79">
        <f>SUM('ASOC.ESPAÑOLA:UNIVERSAL SPS'!G7)</f>
        <v>289985551.51999998</v>
      </c>
    </row>
    <row r="8" spans="1:9">
      <c r="B8" s="5" t="s">
        <v>13</v>
      </c>
      <c r="C8" s="78" t="s">
        <v>14</v>
      </c>
      <c r="D8" s="79">
        <f>SUM('ASOC.ESPAÑOLA:UNIVERSAL SPS'!D8)</f>
        <v>668960924</v>
      </c>
      <c r="E8" s="138" t="s">
        <v>15</v>
      </c>
      <c r="F8" s="78" t="s">
        <v>16</v>
      </c>
      <c r="G8" s="79">
        <f>SUM('ASOC.ESPAÑOLA:UNIVERSAL SPS'!G8)</f>
        <v>1605171205.3699999</v>
      </c>
    </row>
    <row r="9" spans="1:9">
      <c r="B9" s="5" t="s">
        <v>17</v>
      </c>
      <c r="C9" s="78" t="s">
        <v>18</v>
      </c>
      <c r="D9" s="79">
        <f>SUM('ASOC.ESPAÑOLA:UNIVERSAL SPS'!D9)</f>
        <v>37335651446</v>
      </c>
      <c r="E9" s="138" t="s">
        <v>19</v>
      </c>
      <c r="F9" s="78" t="s">
        <v>20</v>
      </c>
      <c r="G9" s="79">
        <f>SUM('ASOC.ESPAÑOLA:UNIVERSAL SPS'!G9)</f>
        <v>1665056470.7725</v>
      </c>
    </row>
    <row r="10" spans="1:9">
      <c r="B10" s="5" t="s">
        <v>21</v>
      </c>
      <c r="C10" s="78" t="s">
        <v>22</v>
      </c>
      <c r="D10" s="79">
        <f>SUM('ASOC.ESPAÑOLA:UNIVERSAL SPS'!D10)</f>
        <v>3647989618</v>
      </c>
      <c r="E10" s="138" t="s">
        <v>23</v>
      </c>
      <c r="F10" s="78" t="s">
        <v>24</v>
      </c>
      <c r="G10" s="79">
        <f>SUM('ASOC.ESPAÑOLA:UNIVERSAL SPS'!G10)</f>
        <v>5647430770.1100006</v>
      </c>
    </row>
    <row r="11" spans="1:9">
      <c r="B11" s="5" t="s">
        <v>25</v>
      </c>
      <c r="C11" s="78" t="s">
        <v>26</v>
      </c>
      <c r="D11" s="79">
        <f>SUM('ASOC.ESPAÑOLA:UNIVERSAL SPS'!D11)</f>
        <v>701927759</v>
      </c>
      <c r="E11" s="138" t="s">
        <v>27</v>
      </c>
      <c r="F11" s="78" t="s">
        <v>28</v>
      </c>
      <c r="G11" s="79">
        <f>SUM('ASOC.ESPAÑOLA:UNIVERSAL SPS'!G11)</f>
        <v>3607438088.3175001</v>
      </c>
    </row>
    <row r="12" spans="1:9">
      <c r="B12" s="5" t="s">
        <v>29</v>
      </c>
      <c r="C12" s="78" t="s">
        <v>30</v>
      </c>
      <c r="D12" s="79">
        <f>SUM('ASOC.ESPAÑOLA:UNIVERSAL SPS'!D12)</f>
        <v>866847398</v>
      </c>
      <c r="E12" s="138" t="s">
        <v>31</v>
      </c>
      <c r="F12" s="78" t="s">
        <v>32</v>
      </c>
      <c r="G12" s="79">
        <f>SUM('ASOC.ESPAÑOLA:UNIVERSAL SPS'!G12)</f>
        <v>2670821164.9099998</v>
      </c>
    </row>
    <row r="13" spans="1:9">
      <c r="B13" s="5" t="s">
        <v>33</v>
      </c>
      <c r="C13" s="78" t="s">
        <v>34</v>
      </c>
      <c r="D13" s="79">
        <f>SUM('ASOC.ESPAÑOLA:UNIVERSAL SPS'!D13)</f>
        <v>0</v>
      </c>
      <c r="E13" s="138" t="s">
        <v>35</v>
      </c>
      <c r="F13" s="78" t="s">
        <v>36</v>
      </c>
      <c r="G13" s="79">
        <f>SUM('ASOC.ESPAÑOLA:UNIVERSAL SPS'!G13)</f>
        <v>644220028.88</v>
      </c>
    </row>
    <row r="14" spans="1:9">
      <c r="A14" s="14"/>
      <c r="B14" s="5" t="s">
        <v>37</v>
      </c>
      <c r="C14" s="78" t="s">
        <v>38</v>
      </c>
      <c r="D14" s="79">
        <f>SUM('ASOC.ESPAÑOLA:UNIVERSAL SPS'!D14)</f>
        <v>247291954</v>
      </c>
      <c r="E14" s="138" t="s">
        <v>39</v>
      </c>
      <c r="F14" s="78" t="s">
        <v>40</v>
      </c>
      <c r="G14" s="79">
        <f>SUM('ASOC.ESPAÑOLA:UNIVERSAL SPS'!G14)</f>
        <v>6622350641.4799995</v>
      </c>
    </row>
    <row r="15" spans="1:9">
      <c r="B15" s="5" t="s">
        <v>41</v>
      </c>
      <c r="C15" s="83" t="s">
        <v>42</v>
      </c>
      <c r="D15" s="79">
        <f>SUM('ASOC.ESPAÑOLA:UNIVERSAL SPS'!D15)</f>
        <v>31409339</v>
      </c>
      <c r="E15" s="138" t="s">
        <v>43</v>
      </c>
      <c r="F15" s="78" t="s">
        <v>44</v>
      </c>
      <c r="G15" s="79">
        <f>SUM('ASOC.ESPAÑOLA:UNIVERSAL SPS'!G15)</f>
        <v>3127209763.6599998</v>
      </c>
    </row>
    <row r="16" spans="1:9">
      <c r="B16" s="5" t="s">
        <v>45</v>
      </c>
      <c r="C16" s="78" t="s">
        <v>46</v>
      </c>
      <c r="D16" s="79">
        <f>SUM('ASOC.ESPAÑOLA:UNIVERSAL SPS'!D16)</f>
        <v>0</v>
      </c>
      <c r="E16" s="138" t="s">
        <v>47</v>
      </c>
      <c r="F16" s="78" t="s">
        <v>48</v>
      </c>
      <c r="G16" s="79">
        <f>SUM('ASOC.ESPAÑOLA:UNIVERSAL SPS'!G16)</f>
        <v>2498211570.3600001</v>
      </c>
    </row>
    <row r="17" spans="1:7">
      <c r="B17" s="5" t="s">
        <v>49</v>
      </c>
      <c r="C17" s="78" t="s">
        <v>50</v>
      </c>
      <c r="D17" s="79">
        <f>SUM('ASOC.ESPAÑOLA:UNIVERSAL SPS'!D17)</f>
        <v>151</v>
      </c>
      <c r="E17" s="138" t="s">
        <v>51</v>
      </c>
      <c r="F17" s="78" t="s">
        <v>52</v>
      </c>
      <c r="G17" s="79">
        <f>SUM('ASOC.ESPAÑOLA:UNIVERSAL SPS'!G17)</f>
        <v>46841041</v>
      </c>
    </row>
    <row r="18" spans="1:7">
      <c r="A18" s="14"/>
      <c r="B18" s="5" t="s">
        <v>53</v>
      </c>
      <c r="C18" s="78" t="s">
        <v>54</v>
      </c>
      <c r="D18" s="79">
        <f>SUM('ASOC.ESPAÑOLA:UNIVERSAL SPS'!D18)</f>
        <v>812785707</v>
      </c>
      <c r="E18" s="138" t="s">
        <v>55</v>
      </c>
      <c r="F18" s="78" t="s">
        <v>56</v>
      </c>
      <c r="G18" s="79">
        <f>SUM('ASOC.ESPAÑOLA:UNIVERSAL SPS'!G18)</f>
        <v>992118720</v>
      </c>
    </row>
    <row r="19" spans="1:7" ht="16.5" thickBot="1">
      <c r="A19" s="14"/>
      <c r="B19" s="5" t="s">
        <v>57</v>
      </c>
      <c r="C19" s="78" t="s">
        <v>58</v>
      </c>
      <c r="D19" s="79">
        <f>SUM('ASOC.ESPAÑOLA:UNIVERSAL SPS'!D19)</f>
        <v>1587360907</v>
      </c>
      <c r="E19" s="138"/>
      <c r="F19" s="85" t="s">
        <v>59</v>
      </c>
      <c r="G19" s="86">
        <f>SUM(G7:G18)</f>
        <v>29416855016.380001</v>
      </c>
    </row>
    <row r="20" spans="1:7" ht="16.5" thickBot="1">
      <c r="B20" s="5"/>
      <c r="C20" s="85" t="s">
        <v>60</v>
      </c>
      <c r="D20" s="86">
        <f>SUM(D7:D19)</f>
        <v>47095350161</v>
      </c>
      <c r="E20" s="138" t="s">
        <v>61</v>
      </c>
      <c r="F20" s="80" t="s">
        <v>62</v>
      </c>
      <c r="G20" s="79">
        <f>SUM('ASOC.ESPAÑOLA:UNIVERSAL SPS'!G20)</f>
        <v>19822249.52</v>
      </c>
    </row>
    <row r="21" spans="1:7">
      <c r="B21" s="5"/>
      <c r="C21" s="87" t="s">
        <v>63</v>
      </c>
      <c r="D21" s="88">
        <f>SUM(D22:D28)</f>
        <v>527190902.38000005</v>
      </c>
      <c r="E21" s="138" t="s">
        <v>64</v>
      </c>
      <c r="F21" s="78" t="s">
        <v>65</v>
      </c>
      <c r="G21" s="79">
        <f>SUM('ASOC.ESPAÑOLA:UNIVERSAL SPS'!G21)</f>
        <v>609947729.22000003</v>
      </c>
    </row>
    <row r="22" spans="1:7">
      <c r="B22" s="5" t="s">
        <v>66</v>
      </c>
      <c r="C22" s="78" t="s">
        <v>67</v>
      </c>
      <c r="D22" s="79">
        <f>SUM('ASOC.ESPAÑOLA:UNIVERSAL SPS'!D22)</f>
        <v>242776044.55000001</v>
      </c>
      <c r="E22" s="138" t="s">
        <v>68</v>
      </c>
      <c r="F22" s="78" t="s">
        <v>69</v>
      </c>
      <c r="G22" s="79">
        <f>SUM('ASOC.ESPAÑOLA:UNIVERSAL SPS'!G22)</f>
        <v>265645392.34</v>
      </c>
    </row>
    <row r="23" spans="1:7">
      <c r="B23" s="5" t="s">
        <v>70</v>
      </c>
      <c r="C23" s="78" t="s">
        <v>71</v>
      </c>
      <c r="D23" s="79">
        <f>SUM('ASOC.ESPAÑOLA:UNIVERSAL SPS'!D23)</f>
        <v>62507141.32</v>
      </c>
      <c r="E23" s="138" t="s">
        <v>72</v>
      </c>
      <c r="F23" s="78" t="s">
        <v>73</v>
      </c>
      <c r="G23" s="79">
        <f>SUM('ASOC.ESPAÑOLA:UNIVERSAL SPS'!G23)</f>
        <v>533363104.34000003</v>
      </c>
    </row>
    <row r="24" spans="1:7">
      <c r="B24" s="5" t="s">
        <v>74</v>
      </c>
      <c r="C24" s="78" t="s">
        <v>75</v>
      </c>
      <c r="D24" s="79">
        <f>SUM('ASOC.ESPAÑOLA:UNIVERSAL SPS'!D24)</f>
        <v>77823193.469999999</v>
      </c>
      <c r="E24" s="138" t="s">
        <v>76</v>
      </c>
      <c r="F24" s="78" t="s">
        <v>77</v>
      </c>
      <c r="G24" s="79">
        <f>SUM('ASOC.ESPAÑOLA:UNIVERSAL SPS'!G24)</f>
        <v>13450153</v>
      </c>
    </row>
    <row r="25" spans="1:7">
      <c r="B25" s="5" t="s">
        <v>78</v>
      </c>
      <c r="C25" s="78" t="s">
        <v>79</v>
      </c>
      <c r="D25" s="79">
        <f>SUM('ASOC.ESPAÑOLA:UNIVERSAL SPS'!D25)</f>
        <v>38505964</v>
      </c>
      <c r="E25" s="138" t="s">
        <v>80</v>
      </c>
      <c r="F25" s="78" t="s">
        <v>81</v>
      </c>
      <c r="G25" s="79">
        <f>SUM('ASOC.ESPAÑOLA:UNIVERSAL SPS'!G25)</f>
        <v>202227327.15000001</v>
      </c>
    </row>
    <row r="26" spans="1:7">
      <c r="B26" s="5" t="s">
        <v>82</v>
      </c>
      <c r="C26" s="78" t="s">
        <v>83</v>
      </c>
      <c r="D26" s="79">
        <f>SUM('ASOC.ESPAÑOLA:UNIVERSAL SPS'!D26)</f>
        <v>19708458.809999999</v>
      </c>
      <c r="E26" s="138" t="s">
        <v>84</v>
      </c>
      <c r="F26" s="78" t="s">
        <v>85</v>
      </c>
      <c r="G26" s="79">
        <f>SUM('ASOC.ESPAÑOLA:UNIVERSAL SPS'!G26)</f>
        <v>56938564</v>
      </c>
    </row>
    <row r="27" spans="1:7" ht="13.5" customHeight="1" thickBot="1">
      <c r="B27" s="5" t="s">
        <v>86</v>
      </c>
      <c r="C27" s="78" t="s">
        <v>87</v>
      </c>
      <c r="D27" s="79">
        <f>SUM('ASOC.ESPAÑOLA:UNIVERSAL SPS'!D27)</f>
        <v>69052320.230000004</v>
      </c>
      <c r="E27" s="138"/>
      <c r="F27" s="85" t="s">
        <v>88</v>
      </c>
      <c r="G27" s="86">
        <f>SUM(G20:G26)</f>
        <v>1701394519.5700002</v>
      </c>
    </row>
    <row r="28" spans="1:7">
      <c r="B28" s="5" t="s">
        <v>89</v>
      </c>
      <c r="C28" s="78" t="s">
        <v>90</v>
      </c>
      <c r="D28" s="79">
        <f>SUM('ASOC.ESPAÑOLA:UNIVERSAL SPS'!D28)</f>
        <v>16817780</v>
      </c>
      <c r="E28" s="138" t="s">
        <v>91</v>
      </c>
      <c r="F28" s="80" t="s">
        <v>92</v>
      </c>
      <c r="G28" s="79">
        <f>SUM('ASOC.ESPAÑOLA:UNIVERSAL SPS'!G28)</f>
        <v>1153029754.8099999</v>
      </c>
    </row>
    <row r="29" spans="1:7">
      <c r="B29" s="5"/>
      <c r="C29" s="89" t="s">
        <v>93</v>
      </c>
      <c r="D29" s="88">
        <f>SUM(D30:D34)</f>
        <v>3792928711.7999997</v>
      </c>
      <c r="E29" s="138" t="s">
        <v>94</v>
      </c>
      <c r="F29" s="78" t="s">
        <v>95</v>
      </c>
      <c r="G29" s="79">
        <f>SUM('ASOC.ESPAÑOLA:UNIVERSAL SPS'!G29)</f>
        <v>778406184.23000002</v>
      </c>
    </row>
    <row r="30" spans="1:7">
      <c r="B30" s="5" t="s">
        <v>96</v>
      </c>
      <c r="C30" s="78" t="s">
        <v>97</v>
      </c>
      <c r="D30" s="79">
        <f>SUM('ASOC.ESPAÑOLA:UNIVERSAL SPS'!D30)</f>
        <v>2791663456.04</v>
      </c>
      <c r="E30" s="138" t="s">
        <v>98</v>
      </c>
      <c r="F30" s="78" t="s">
        <v>99</v>
      </c>
      <c r="G30" s="79">
        <f>SUM('ASOC.ESPAÑOLA:UNIVERSAL SPS'!G30)</f>
        <v>143446951.81999999</v>
      </c>
    </row>
    <row r="31" spans="1:7">
      <c r="B31" s="5" t="s">
        <v>100</v>
      </c>
      <c r="C31" s="78" t="s">
        <v>101</v>
      </c>
      <c r="D31" s="79">
        <f>SUM('ASOC.ESPAÑOLA:UNIVERSAL SPS'!D31)</f>
        <v>371779067.99000001</v>
      </c>
      <c r="E31" s="138" t="s">
        <v>102</v>
      </c>
      <c r="F31" s="78" t="s">
        <v>103</v>
      </c>
      <c r="G31" s="79">
        <f>SUM('ASOC.ESPAÑOLA:UNIVERSAL SPS'!G31)</f>
        <v>66844756</v>
      </c>
    </row>
    <row r="32" spans="1:7" ht="16.5" thickBot="1">
      <c r="B32" s="5" t="s">
        <v>104</v>
      </c>
      <c r="C32" s="78" t="s">
        <v>105</v>
      </c>
      <c r="D32" s="79">
        <f>SUM('ASOC.ESPAÑOLA:UNIVERSAL SPS'!D32)</f>
        <v>395184516.85000002</v>
      </c>
      <c r="E32" s="138"/>
      <c r="F32" s="85" t="s">
        <v>106</v>
      </c>
      <c r="G32" s="86">
        <f>SUM(G28:G31)</f>
        <v>2141727646.8599999</v>
      </c>
    </row>
    <row r="33" spans="2:7">
      <c r="B33" s="5" t="s">
        <v>107</v>
      </c>
      <c r="C33" s="78" t="s">
        <v>108</v>
      </c>
      <c r="D33" s="79">
        <f>SUM('ASOC.ESPAÑOLA:UNIVERSAL SPS'!D33)</f>
        <v>110953017.92</v>
      </c>
      <c r="E33" s="138"/>
      <c r="F33" s="89" t="s">
        <v>109</v>
      </c>
      <c r="G33" s="88">
        <f>SUM(G34:G39)</f>
        <v>3374633737.7199998</v>
      </c>
    </row>
    <row r="34" spans="2:7">
      <c r="B34" s="5" t="s">
        <v>110</v>
      </c>
      <c r="C34" s="78" t="s">
        <v>111</v>
      </c>
      <c r="D34" s="79">
        <f>SUM('ASOC.ESPAÑOLA:UNIVERSAL SPS'!D34)</f>
        <v>123348653</v>
      </c>
      <c r="E34" s="138" t="s">
        <v>112</v>
      </c>
      <c r="F34" s="78" t="s">
        <v>113</v>
      </c>
      <c r="G34" s="79">
        <f>SUM('ASOC.ESPAÑOLA:UNIVERSAL SPS'!G34)</f>
        <v>175148190.58964145</v>
      </c>
    </row>
    <row r="35" spans="2:7" ht="16.5" thickBot="1">
      <c r="B35" s="5"/>
      <c r="C35" s="85" t="s">
        <v>114</v>
      </c>
      <c r="D35" s="86">
        <f>+D21+D29</f>
        <v>4320119614.1799994</v>
      </c>
      <c r="E35" s="138" t="s">
        <v>115</v>
      </c>
      <c r="F35" s="78" t="s">
        <v>116</v>
      </c>
      <c r="G35" s="79">
        <f>SUM('ASOC.ESPAÑOLA:UNIVERSAL SPS'!G35)</f>
        <v>181220477.40677065</v>
      </c>
    </row>
    <row r="36" spans="2:7">
      <c r="B36" s="5" t="s">
        <v>117</v>
      </c>
      <c r="C36" s="78" t="s">
        <v>118</v>
      </c>
      <c r="D36" s="79">
        <f>SUM('ASOC.ESPAÑOLA:UNIVERSAL SPS'!D36)</f>
        <v>496244090.90999997</v>
      </c>
      <c r="E36" s="138" t="s">
        <v>119</v>
      </c>
      <c r="F36" s="78" t="s">
        <v>517</v>
      </c>
      <c r="G36" s="79">
        <f>SUM('ASOC.ESPAÑOLA:UNIVERSAL SPS'!G36)</f>
        <v>88558688.673143461</v>
      </c>
    </row>
    <row r="37" spans="2:7">
      <c r="B37" s="5" t="s">
        <v>120</v>
      </c>
      <c r="C37" s="78" t="s">
        <v>121</v>
      </c>
      <c r="D37" s="79">
        <f>SUM('ASOC.ESPAÑOLA:UNIVERSAL SPS'!D37)</f>
        <v>760882154</v>
      </c>
      <c r="E37" s="138" t="s">
        <v>122</v>
      </c>
      <c r="F37" s="78" t="s">
        <v>123</v>
      </c>
      <c r="G37" s="79">
        <f>SUM('ASOC.ESPAÑOLA:UNIVERSAL SPS'!G37)</f>
        <v>205215578.93982542</v>
      </c>
    </row>
    <row r="38" spans="2:7">
      <c r="B38" s="5" t="s">
        <v>124</v>
      </c>
      <c r="C38" s="78" t="s">
        <v>125</v>
      </c>
      <c r="D38" s="79">
        <f>SUM('ASOC.ESPAÑOLA:UNIVERSAL SPS'!D38)</f>
        <v>93055749</v>
      </c>
      <c r="E38" s="138" t="s">
        <v>126</v>
      </c>
      <c r="F38" s="78" t="s">
        <v>127</v>
      </c>
      <c r="G38" s="79">
        <f>SUM('ASOC.ESPAÑOLA:UNIVERSAL SPS'!G38)</f>
        <v>349326181.5456146</v>
      </c>
    </row>
    <row r="39" spans="2:7">
      <c r="B39" s="5" t="s">
        <v>128</v>
      </c>
      <c r="C39" s="78" t="s">
        <v>129</v>
      </c>
      <c r="D39" s="79">
        <f>SUM('ASOC.ESPAÑOLA:UNIVERSAL SPS'!D39)</f>
        <v>82346522</v>
      </c>
      <c r="E39" s="138" t="s">
        <v>130</v>
      </c>
      <c r="F39" s="78" t="s">
        <v>131</v>
      </c>
      <c r="G39" s="79">
        <f>SUM('ASOC.ESPAÑOLA:UNIVERSAL SPS'!G39)</f>
        <v>2375164620.5650043</v>
      </c>
    </row>
    <row r="40" spans="2:7">
      <c r="B40" s="5" t="s">
        <v>132</v>
      </c>
      <c r="C40" s="78" t="s">
        <v>133</v>
      </c>
      <c r="D40" s="79">
        <f>SUM('ASOC.ESPAÑOLA:UNIVERSAL SPS'!D40)</f>
        <v>115572455.5</v>
      </c>
      <c r="E40" s="138"/>
      <c r="F40" s="90" t="s">
        <v>134</v>
      </c>
      <c r="G40" s="91">
        <f>SUM(G41:G46)</f>
        <v>711324078.52999997</v>
      </c>
    </row>
    <row r="41" spans="2:7">
      <c r="B41" s="5" t="s">
        <v>135</v>
      </c>
      <c r="C41" s="78" t="s">
        <v>136</v>
      </c>
      <c r="D41" s="79">
        <f>SUM('ASOC.ESPAÑOLA:UNIVERSAL SPS'!D41)</f>
        <v>1084300038.74</v>
      </c>
      <c r="E41" s="138" t="s">
        <v>137</v>
      </c>
      <c r="F41" s="78" t="s">
        <v>138</v>
      </c>
      <c r="G41" s="79">
        <f>SUM('ASOC.ESPAÑOLA:UNIVERSAL SPS'!G41)</f>
        <v>59702013.132114336</v>
      </c>
    </row>
    <row r="42" spans="2:7">
      <c r="B42" s="5" t="s">
        <v>139</v>
      </c>
      <c r="C42" s="78" t="s">
        <v>140</v>
      </c>
      <c r="D42" s="79">
        <f>SUM('ASOC.ESPAÑOLA:UNIVERSAL SPS'!D42)</f>
        <v>530809417.76999998</v>
      </c>
      <c r="E42" s="138" t="s">
        <v>141</v>
      </c>
      <c r="F42" s="78" t="s">
        <v>142</v>
      </c>
      <c r="G42" s="79">
        <f>SUM('ASOC.ESPAÑOLA:UNIVERSAL SPS'!G42)</f>
        <v>9707760</v>
      </c>
    </row>
    <row r="43" spans="2:7">
      <c r="B43" s="5" t="s">
        <v>143</v>
      </c>
      <c r="C43" s="78" t="s">
        <v>144</v>
      </c>
      <c r="D43" s="79">
        <f>SUM('ASOC.ESPAÑOLA:UNIVERSAL SPS'!D43)</f>
        <v>15771422</v>
      </c>
      <c r="E43" s="138" t="s">
        <v>145</v>
      </c>
      <c r="F43" s="78" t="s">
        <v>146</v>
      </c>
      <c r="G43" s="79">
        <f>SUM('ASOC.ESPAÑOLA:UNIVERSAL SPS'!G43)</f>
        <v>82880205.624744743</v>
      </c>
    </row>
    <row r="44" spans="2:7">
      <c r="B44" s="5" t="s">
        <v>147</v>
      </c>
      <c r="C44" s="78" t="s">
        <v>148</v>
      </c>
      <c r="D44" s="79">
        <f>SUM('ASOC.ESPAÑOLA:UNIVERSAL SPS'!D44)</f>
        <v>144915</v>
      </c>
      <c r="E44" s="138" t="s">
        <v>149</v>
      </c>
      <c r="F44" s="78" t="s">
        <v>150</v>
      </c>
      <c r="G44" s="79">
        <f>SUM('ASOC.ESPAÑOLA:UNIVERSAL SPS'!G44)</f>
        <v>32173030.388105709</v>
      </c>
    </row>
    <row r="45" spans="2:7">
      <c r="B45" s="5" t="s">
        <v>151</v>
      </c>
      <c r="C45" s="78" t="s">
        <v>152</v>
      </c>
      <c r="D45" s="79">
        <f>SUM('ASOC.ESPAÑOLA:UNIVERSAL SPS'!D45)</f>
        <v>1636416175.2999997</v>
      </c>
      <c r="E45" s="138" t="s">
        <v>153</v>
      </c>
      <c r="F45" s="78" t="s">
        <v>154</v>
      </c>
      <c r="G45" s="79">
        <f>SUM('ASOC.ESPAÑOLA:UNIVERSAL SPS'!G45)</f>
        <v>51081931.436142534</v>
      </c>
    </row>
    <row r="46" spans="2:7">
      <c r="B46" s="5" t="s">
        <v>155</v>
      </c>
      <c r="C46" s="78" t="s">
        <v>156</v>
      </c>
      <c r="D46" s="79">
        <f>SUM('ASOC.ESPAÑOLA:UNIVERSAL SPS'!D46)</f>
        <v>148839422</v>
      </c>
      <c r="E46" s="138" t="s">
        <v>157</v>
      </c>
      <c r="F46" s="78" t="s">
        <v>158</v>
      </c>
      <c r="G46" s="79">
        <f>SUM('ASOC.ESPAÑOLA:UNIVERSAL SPS'!G46)</f>
        <v>475779137.94889271</v>
      </c>
    </row>
    <row r="47" spans="2:7" ht="16.5" thickBot="1">
      <c r="B47" s="5"/>
      <c r="C47" s="85" t="s">
        <v>159</v>
      </c>
      <c r="D47" s="86">
        <f>SUM(D36:D46)</f>
        <v>4964382362.2199993</v>
      </c>
      <c r="E47" s="138" t="s">
        <v>160</v>
      </c>
      <c r="F47" s="78" t="s">
        <v>161</v>
      </c>
      <c r="G47" s="79">
        <f>SUM('ASOC.ESPAÑOLA:UNIVERSAL SPS'!G47)</f>
        <v>153394818</v>
      </c>
    </row>
    <row r="48" spans="2:7" ht="16.5" thickBot="1">
      <c r="B48" s="5"/>
      <c r="C48" s="92" t="s">
        <v>162</v>
      </c>
      <c r="D48" s="93"/>
      <c r="E48" s="138"/>
      <c r="F48" s="85" t="s">
        <v>163</v>
      </c>
      <c r="G48" s="94">
        <f>+G33+G40+G47</f>
        <v>4239352634.25</v>
      </c>
    </row>
    <row r="49" spans="2:7">
      <c r="B49" s="5" t="s">
        <v>164</v>
      </c>
      <c r="C49" s="95" t="s">
        <v>165</v>
      </c>
      <c r="D49" s="79">
        <f>SUM('ASOC.ESPAÑOLA:UNIVERSAL SPS'!D49)</f>
        <v>621852</v>
      </c>
      <c r="E49" s="138" t="s">
        <v>166</v>
      </c>
      <c r="F49" s="80" t="s">
        <v>167</v>
      </c>
      <c r="G49" s="79">
        <f>SUM('ASOC.ESPAÑOLA:UNIVERSAL SPS'!G49)</f>
        <v>1463396935.1900001</v>
      </c>
    </row>
    <row r="50" spans="2:7">
      <c r="B50" s="5" t="s">
        <v>168</v>
      </c>
      <c r="C50" s="78" t="s">
        <v>162</v>
      </c>
      <c r="D50" s="79">
        <f>SUM('ASOC.ESPAÑOLA:UNIVERSAL SPS'!D50)</f>
        <v>2020607658</v>
      </c>
      <c r="E50" s="138" t="s">
        <v>169</v>
      </c>
      <c r="F50" s="78" t="s">
        <v>170</v>
      </c>
      <c r="G50" s="79">
        <f>SUM('ASOC.ESPAÑOLA:UNIVERSAL SPS'!G50)</f>
        <v>1681866066.52</v>
      </c>
    </row>
    <row r="51" spans="2:7">
      <c r="B51" s="5" t="s">
        <v>171</v>
      </c>
      <c r="C51" s="78" t="s">
        <v>172</v>
      </c>
      <c r="D51" s="79">
        <f>SUM('ASOC.ESPAÑOLA:UNIVERSAL SPS'!D51)</f>
        <v>63942470</v>
      </c>
      <c r="E51" s="138" t="s">
        <v>173</v>
      </c>
      <c r="F51" s="78" t="s">
        <v>174</v>
      </c>
      <c r="G51" s="79">
        <f>SUM('ASOC.ESPAÑOLA:UNIVERSAL SPS'!G51)</f>
        <v>69366276.359999999</v>
      </c>
    </row>
    <row r="52" spans="2:7" ht="16.5" thickBot="1">
      <c r="B52" s="11"/>
      <c r="C52" s="85" t="s">
        <v>175</v>
      </c>
      <c r="D52" s="86">
        <f>SUM(D49:D51)</f>
        <v>2085171980</v>
      </c>
      <c r="E52" s="138" t="s">
        <v>176</v>
      </c>
      <c r="F52" s="78" t="s">
        <v>177</v>
      </c>
      <c r="G52" s="79">
        <f>SUM('ASOC.ESPAÑOLA:UNIVERSAL SPS'!G52)</f>
        <v>29303346.370000001</v>
      </c>
    </row>
    <row r="53" spans="2:7" ht="16.5" thickBot="1">
      <c r="B53" s="5"/>
      <c r="C53" s="75" t="s">
        <v>178</v>
      </c>
      <c r="D53" s="97">
        <f>D20+D35+D47+D52</f>
        <v>58465024117.400002</v>
      </c>
      <c r="E53" s="138" t="s">
        <v>179</v>
      </c>
      <c r="F53" s="78" t="s">
        <v>180</v>
      </c>
      <c r="G53" s="79">
        <f>SUM('ASOC.ESPAÑOLA:UNIVERSAL SPS'!G53)</f>
        <v>237091867.18000001</v>
      </c>
    </row>
    <row r="54" spans="2:7">
      <c r="C54" s="98"/>
      <c r="D54" s="99"/>
      <c r="E54" s="138" t="s">
        <v>181</v>
      </c>
      <c r="F54" s="78" t="s">
        <v>182</v>
      </c>
      <c r="G54" s="79">
        <f>SUM('ASOC.ESPAÑOLA:UNIVERSAL SPS'!G54)</f>
        <v>95498356.219999999</v>
      </c>
    </row>
    <row r="55" spans="2:7">
      <c r="C55" s="100" t="s">
        <v>183</v>
      </c>
      <c r="D55" s="101"/>
      <c r="E55" s="138" t="s">
        <v>184</v>
      </c>
      <c r="F55" s="78" t="s">
        <v>185</v>
      </c>
      <c r="G55" s="79">
        <f>SUM('ASOC.ESPAÑOLA:UNIVERSAL SPS'!G55)</f>
        <v>103369101.18000001</v>
      </c>
    </row>
    <row r="56" spans="2:7">
      <c r="B56" s="5" t="s">
        <v>186</v>
      </c>
      <c r="C56" s="102" t="s">
        <v>187</v>
      </c>
      <c r="D56" s="79">
        <f>SUM('ASOC.ESPAÑOLA:UNIVERSAL SPS'!D56)</f>
        <v>-863033</v>
      </c>
      <c r="E56" s="138" t="s">
        <v>188</v>
      </c>
      <c r="F56" s="78" t="s">
        <v>189</v>
      </c>
      <c r="G56" s="79">
        <f>SUM('ASOC.ESPAÑOLA:UNIVERSAL SPS'!G56)</f>
        <v>144305518</v>
      </c>
    </row>
    <row r="57" spans="2:7" ht="14.25" customHeight="1" thickBot="1">
      <c r="B57" s="5" t="s">
        <v>190</v>
      </c>
      <c r="C57" s="102" t="s">
        <v>191</v>
      </c>
      <c r="D57" s="79">
        <f>SUM('ASOC.ESPAÑOLA:UNIVERSAL SPS'!D57)</f>
        <v>-23449719</v>
      </c>
      <c r="E57" s="138"/>
      <c r="F57" s="85" t="s">
        <v>192</v>
      </c>
      <c r="G57" s="86">
        <f>SUM(G49:G56)</f>
        <v>3824197467.0199995</v>
      </c>
    </row>
    <row r="58" spans="2:7">
      <c r="B58" s="5" t="s">
        <v>193</v>
      </c>
      <c r="C58" s="102" t="s">
        <v>194</v>
      </c>
      <c r="D58" s="79">
        <f>SUM('ASOC.ESPAÑOLA:UNIVERSAL SPS'!D58)</f>
        <v>-70941</v>
      </c>
      <c r="E58" s="138" t="s">
        <v>195</v>
      </c>
      <c r="F58" s="80" t="s">
        <v>196</v>
      </c>
      <c r="G58" s="79">
        <f>SUM('ASOC.ESPAÑOLA:UNIVERSAL SPS'!G58)</f>
        <v>2429490482.2399998</v>
      </c>
    </row>
    <row r="59" spans="2:7">
      <c r="B59" s="5" t="s">
        <v>197</v>
      </c>
      <c r="C59" s="78" t="s">
        <v>198</v>
      </c>
      <c r="D59" s="79">
        <f>SUM('ASOC.ESPAÑOLA:UNIVERSAL SPS'!D59)</f>
        <v>-1023651</v>
      </c>
      <c r="E59" s="138" t="s">
        <v>199</v>
      </c>
      <c r="F59" s="78" t="s">
        <v>200</v>
      </c>
      <c r="G59" s="79">
        <f>SUM('ASOC.ESPAÑOLA:UNIVERSAL SPS'!G59)</f>
        <v>1223160184.75</v>
      </c>
    </row>
    <row r="60" spans="2:7" ht="16.5" thickBot="1">
      <c r="B60" s="5"/>
      <c r="C60" s="85" t="s">
        <v>201</v>
      </c>
      <c r="D60" s="86">
        <f>SUM(D56:D59)</f>
        <v>-25407344</v>
      </c>
      <c r="E60" s="138" t="s">
        <v>202</v>
      </c>
      <c r="F60" s="78" t="s">
        <v>203</v>
      </c>
      <c r="G60" s="79">
        <f>SUM('ASOC.ESPAÑOLA:UNIVERSAL SPS'!G60)</f>
        <v>289260162.16000003</v>
      </c>
    </row>
    <row r="61" spans="2:7" ht="16.5" thickBot="1">
      <c r="B61" s="15"/>
      <c r="C61" s="72" t="s">
        <v>204</v>
      </c>
      <c r="D61" s="103">
        <f>D53+D60</f>
        <v>58439616773.400002</v>
      </c>
      <c r="E61" s="138" t="s">
        <v>205</v>
      </c>
      <c r="F61" s="78" t="s">
        <v>206</v>
      </c>
      <c r="G61" s="79">
        <f>SUM('ASOC.ESPAÑOLA:UNIVERSAL SPS'!G61)</f>
        <v>79771110</v>
      </c>
    </row>
    <row r="62" spans="2:7">
      <c r="B62" s="16"/>
      <c r="C62" s="116"/>
      <c r="D62" s="116"/>
      <c r="E62" s="138" t="s">
        <v>207</v>
      </c>
      <c r="F62" s="78" t="s">
        <v>208</v>
      </c>
      <c r="G62" s="79">
        <f>SUM('ASOC.ESPAÑOLA:UNIVERSAL SPS'!G62)</f>
        <v>12049450</v>
      </c>
    </row>
    <row r="63" spans="2:7">
      <c r="B63" s="17"/>
      <c r="C63" s="222" t="s">
        <v>8</v>
      </c>
      <c r="D63" s="222"/>
      <c r="E63" s="138" t="s">
        <v>209</v>
      </c>
      <c r="F63" s="78" t="s">
        <v>210</v>
      </c>
      <c r="G63" s="79">
        <f>SUM('ASOC.ESPAÑOLA:UNIVERSAL SPS'!G63)</f>
        <v>594805196.71000004</v>
      </c>
    </row>
    <row r="64" spans="2:7">
      <c r="B64" s="18" t="s">
        <v>211</v>
      </c>
      <c r="C64" s="223" t="s">
        <v>212</v>
      </c>
      <c r="D64" s="223">
        <f>[37]Amortizaciones!D6</f>
        <v>5258062</v>
      </c>
      <c r="E64" s="138" t="s">
        <v>213</v>
      </c>
      <c r="F64" s="78" t="s">
        <v>214</v>
      </c>
      <c r="G64" s="79">
        <f>SUM('ASOC.ESPAÑOLA:UNIVERSAL SPS'!G64)</f>
        <v>214268194.36000001</v>
      </c>
    </row>
    <row r="65" spans="2:7">
      <c r="B65" s="18" t="s">
        <v>215</v>
      </c>
      <c r="C65" s="223" t="s">
        <v>216</v>
      </c>
      <c r="D65" s="223">
        <f>[37]Amortizaciones!D7</f>
        <v>0</v>
      </c>
      <c r="E65" s="138" t="s">
        <v>217</v>
      </c>
      <c r="F65" s="78" t="s">
        <v>218</v>
      </c>
      <c r="G65" s="79">
        <f>SUM('ASOC.ESPAÑOLA:UNIVERSAL SPS'!G65)</f>
        <v>148139411.25</v>
      </c>
    </row>
    <row r="66" spans="2:7">
      <c r="B66" s="18" t="s">
        <v>219</v>
      </c>
      <c r="C66" s="223" t="s">
        <v>220</v>
      </c>
      <c r="D66" s="223">
        <f>[37]Amortizaciones!D8</f>
        <v>3184099</v>
      </c>
      <c r="E66" s="138" t="s">
        <v>221</v>
      </c>
      <c r="F66" s="78" t="s">
        <v>222</v>
      </c>
      <c r="G66" s="79">
        <f>SUM('ASOC.ESPAÑOLA:UNIVERSAL SPS'!G66)</f>
        <v>305895012.03999996</v>
      </c>
    </row>
    <row r="67" spans="2:7">
      <c r="B67" s="18" t="s">
        <v>223</v>
      </c>
      <c r="C67" s="223" t="s">
        <v>224</v>
      </c>
      <c r="D67" s="223">
        <f>[37]Amortizaciones!D9</f>
        <v>1491</v>
      </c>
      <c r="E67" s="138" t="s">
        <v>225</v>
      </c>
      <c r="F67" s="78" t="s">
        <v>226</v>
      </c>
      <c r="G67" s="79">
        <f>SUM('ASOC.ESPAÑOLA:UNIVERSAL SPS'!G67)</f>
        <v>205057134</v>
      </c>
    </row>
    <row r="68" spans="2:7">
      <c r="B68" s="18" t="s">
        <v>227</v>
      </c>
      <c r="C68" s="223" t="s">
        <v>228</v>
      </c>
      <c r="D68" s="223">
        <f>[37]Amortizaciones!D10</f>
        <v>397989</v>
      </c>
      <c r="E68" s="138" t="s">
        <v>229</v>
      </c>
      <c r="F68" s="78" t="s">
        <v>230</v>
      </c>
      <c r="G68" s="79">
        <f>SUM('ASOC.ESPAÑOLA:UNIVERSAL SPS'!G68)</f>
        <v>26109087.91</v>
      </c>
    </row>
    <row r="69" spans="2:7">
      <c r="B69" s="18" t="s">
        <v>231</v>
      </c>
      <c r="C69" s="223" t="s">
        <v>232</v>
      </c>
      <c r="D69" s="223">
        <f>[37]Amortizaciones!D11</f>
        <v>414709</v>
      </c>
      <c r="E69" s="138" t="s">
        <v>233</v>
      </c>
      <c r="F69" s="78" t="s">
        <v>234</v>
      </c>
      <c r="G69" s="79">
        <f>SUM('ASOC.ESPAÑOLA:UNIVERSAL SPS'!G69)</f>
        <v>108821433.16</v>
      </c>
    </row>
    <row r="70" spans="2:7">
      <c r="B70" s="18" t="s">
        <v>235</v>
      </c>
      <c r="C70" s="223" t="s">
        <v>236</v>
      </c>
      <c r="D70" s="223">
        <f>[37]Amortizaciones!D12</f>
        <v>184278</v>
      </c>
      <c r="E70" s="138" t="s">
        <v>237</v>
      </c>
      <c r="F70" s="78" t="s">
        <v>238</v>
      </c>
      <c r="G70" s="79">
        <f>SUM('ASOC.ESPAÑOLA:UNIVERSAL SPS'!G70)</f>
        <v>121237958.41999999</v>
      </c>
    </row>
    <row r="71" spans="2:7">
      <c r="B71" s="18" t="s">
        <v>239</v>
      </c>
      <c r="C71" s="223" t="s">
        <v>240</v>
      </c>
      <c r="D71" s="223">
        <f>[37]Amortizaciones!D13</f>
        <v>826164</v>
      </c>
      <c r="E71" s="138" t="s">
        <v>241</v>
      </c>
      <c r="F71" s="78" t="s">
        <v>242</v>
      </c>
      <c r="G71" s="79">
        <f>SUM('ASOC.ESPAÑOLA:UNIVERSAL SPS'!G71)</f>
        <v>15729310</v>
      </c>
    </row>
    <row r="72" spans="2:7">
      <c r="B72" s="18" t="s">
        <v>243</v>
      </c>
      <c r="C72" s="223" t="s">
        <v>244</v>
      </c>
      <c r="D72" s="223">
        <f>[37]Amortizaciones!D14</f>
        <v>959221</v>
      </c>
      <c r="E72" s="138" t="s">
        <v>245</v>
      </c>
      <c r="F72" s="78" t="s">
        <v>246</v>
      </c>
      <c r="G72" s="79">
        <f>SUM('ASOC.ESPAÑOLA:UNIVERSAL SPS'!G72)</f>
        <v>26828422</v>
      </c>
    </row>
    <row r="73" spans="2:7">
      <c r="B73" s="18" t="s">
        <v>247</v>
      </c>
      <c r="C73" s="223" t="s">
        <v>248</v>
      </c>
      <c r="D73" s="223">
        <f>[37]Amortizaciones!D15</f>
        <v>0</v>
      </c>
      <c r="E73" s="138" t="s">
        <v>249</v>
      </c>
      <c r="F73" s="78" t="s">
        <v>250</v>
      </c>
      <c r="G73" s="79">
        <f>SUM('ASOC.ESPAÑOLA:UNIVERSAL SPS'!G73)</f>
        <v>67426156</v>
      </c>
    </row>
    <row r="74" spans="2:7">
      <c r="B74" s="18" t="s">
        <v>251</v>
      </c>
      <c r="C74" s="223" t="s">
        <v>252</v>
      </c>
      <c r="D74" s="223">
        <f>[37]Amortizaciones!D16</f>
        <v>397250</v>
      </c>
      <c r="E74" s="138" t="s">
        <v>253</v>
      </c>
      <c r="F74" s="78" t="s">
        <v>254</v>
      </c>
      <c r="G74" s="79">
        <f>SUM('ASOC.ESPAÑOLA:UNIVERSAL SPS'!G74)</f>
        <v>70785661</v>
      </c>
    </row>
    <row r="75" spans="2:7">
      <c r="B75" s="18" t="s">
        <v>255</v>
      </c>
      <c r="C75" s="223" t="s">
        <v>256</v>
      </c>
      <c r="D75" s="223">
        <f>[37]Amortizaciones!D17</f>
        <v>0</v>
      </c>
      <c r="E75" s="138" t="s">
        <v>257</v>
      </c>
      <c r="F75" s="78" t="s">
        <v>258</v>
      </c>
      <c r="G75" s="79">
        <f>SUM('ASOC.ESPAÑOLA:UNIVERSAL SPS'!G75)</f>
        <v>161700821</v>
      </c>
    </row>
    <row r="76" spans="2:7">
      <c r="B76" s="18" t="s">
        <v>259</v>
      </c>
      <c r="C76" s="223" t="s">
        <v>260</v>
      </c>
      <c r="D76" s="223">
        <f>[37]Amortizaciones!D18</f>
        <v>0</v>
      </c>
      <c r="E76" s="138" t="s">
        <v>261</v>
      </c>
      <c r="F76" s="78" t="s">
        <v>262</v>
      </c>
      <c r="G76" s="79">
        <f>SUM('ASOC.ESPAÑOLA:UNIVERSAL SPS'!G76)</f>
        <v>722509016.42999995</v>
      </c>
    </row>
    <row r="77" spans="2:7">
      <c r="B77" s="18" t="s">
        <v>263</v>
      </c>
      <c r="C77" s="223" t="s">
        <v>264</v>
      </c>
      <c r="D77" s="223">
        <f>SUM(D64:D76)</f>
        <v>11623263</v>
      </c>
      <c r="E77" s="138" t="s">
        <v>265</v>
      </c>
      <c r="F77" s="78" t="s">
        <v>266</v>
      </c>
      <c r="G77" s="79">
        <f>SUM('ASOC.ESPAÑOLA:UNIVERSAL SPS'!G77)</f>
        <v>1882247790.78</v>
      </c>
    </row>
    <row r="78" spans="2:7">
      <c r="B78" s="18"/>
      <c r="C78" s="223"/>
      <c r="D78" s="223"/>
      <c r="E78" s="138" t="s">
        <v>267</v>
      </c>
      <c r="F78" s="78" t="s">
        <v>268</v>
      </c>
      <c r="G78" s="79">
        <f>SUM('ASOC.ESPAÑOLA:UNIVERSAL SPS'!G78)</f>
        <v>293279045.92000002</v>
      </c>
    </row>
    <row r="79" spans="2:7" ht="16.5" thickBot="1">
      <c r="B79" s="18"/>
      <c r="C79" s="222" t="s">
        <v>269</v>
      </c>
      <c r="D79" s="224"/>
      <c r="E79" s="138"/>
      <c r="F79" s="85" t="s">
        <v>270</v>
      </c>
      <c r="G79" s="86">
        <f>SUM(G58:G78)</f>
        <v>8998571040.1299992</v>
      </c>
    </row>
    <row r="80" spans="2:7">
      <c r="B80" s="18" t="s">
        <v>271</v>
      </c>
      <c r="C80" s="223" t="s">
        <v>236</v>
      </c>
      <c r="D80" s="223">
        <f>[37]Amortizaciones!D22</f>
        <v>0</v>
      </c>
      <c r="E80" s="138" t="s">
        <v>272</v>
      </c>
      <c r="F80" s="80" t="s">
        <v>273</v>
      </c>
      <c r="G80" s="79">
        <f>SUM('ASOC.ESPAÑOLA:UNIVERSAL SPS'!G80)</f>
        <v>12160416.310000001</v>
      </c>
    </row>
    <row r="81" spans="2:7">
      <c r="B81" s="18" t="s">
        <v>274</v>
      </c>
      <c r="C81" s="223" t="s">
        <v>240</v>
      </c>
      <c r="D81" s="223">
        <f>[37]Amortizaciones!D23</f>
        <v>0</v>
      </c>
      <c r="E81" s="138" t="s">
        <v>275</v>
      </c>
      <c r="F81" s="78" t="s">
        <v>276</v>
      </c>
      <c r="G81" s="79">
        <f>SUM('ASOC.ESPAÑOLA:UNIVERSAL SPS'!G81)</f>
        <v>420905892.82999998</v>
      </c>
    </row>
    <row r="82" spans="2:7">
      <c r="B82" s="18" t="s">
        <v>277</v>
      </c>
      <c r="C82" s="223" t="s">
        <v>244</v>
      </c>
      <c r="D82" s="223">
        <f>[37]Amortizaciones!D24</f>
        <v>0</v>
      </c>
      <c r="E82" s="138" t="s">
        <v>278</v>
      </c>
      <c r="F82" s="78" t="s">
        <v>279</v>
      </c>
      <c r="G82" s="79">
        <f>SUM('ASOC.ESPAÑOLA:UNIVERSAL SPS'!G82)</f>
        <v>92986785.053499997</v>
      </c>
    </row>
    <row r="83" spans="2:7">
      <c r="B83" s="18" t="s">
        <v>280</v>
      </c>
      <c r="C83" s="223" t="s">
        <v>248</v>
      </c>
      <c r="D83" s="223">
        <f>[37]Amortizaciones!D25</f>
        <v>0</v>
      </c>
      <c r="E83" s="138" t="s">
        <v>281</v>
      </c>
      <c r="F83" s="78" t="s">
        <v>282</v>
      </c>
      <c r="G83" s="79">
        <f>SUM('ASOC.ESPAÑOLA:UNIVERSAL SPS'!G83)</f>
        <v>71988240.120000005</v>
      </c>
    </row>
    <row r="84" spans="2:7">
      <c r="B84" s="18" t="s">
        <v>283</v>
      </c>
      <c r="C84" s="223" t="s">
        <v>284</v>
      </c>
      <c r="D84" s="223">
        <v>0</v>
      </c>
      <c r="E84" s="138" t="s">
        <v>285</v>
      </c>
      <c r="F84" s="78" t="s">
        <v>286</v>
      </c>
      <c r="G84" s="79">
        <f>SUM('ASOC.ESPAÑOLA:UNIVERSAL SPS'!G84)</f>
        <v>236634746.46000001</v>
      </c>
    </row>
    <row r="85" spans="2:7">
      <c r="B85" s="18" t="s">
        <v>287</v>
      </c>
      <c r="C85" s="223" t="s">
        <v>288</v>
      </c>
      <c r="D85" s="223">
        <f>[37]Amortizaciones!D27</f>
        <v>0</v>
      </c>
      <c r="E85" s="138" t="s">
        <v>289</v>
      </c>
      <c r="F85" s="78" t="s">
        <v>290</v>
      </c>
      <c r="G85" s="79">
        <f>SUM('ASOC.ESPAÑOLA:UNIVERSAL SPS'!G85)</f>
        <v>123136743.23</v>
      </c>
    </row>
    <row r="86" spans="2:7" ht="13.5" customHeight="1">
      <c r="B86" s="18" t="s">
        <v>291</v>
      </c>
      <c r="C86" s="223" t="s">
        <v>292</v>
      </c>
      <c r="D86" s="223">
        <f>[37]Amortizaciones!D28</f>
        <v>0</v>
      </c>
      <c r="E86" s="138" t="s">
        <v>293</v>
      </c>
      <c r="F86" s="78" t="s">
        <v>294</v>
      </c>
      <c r="G86" s="79">
        <f>SUM('ASOC.ESPAÑOLA:UNIVERSAL SPS'!G86)</f>
        <v>22087445.649999999</v>
      </c>
    </row>
    <row r="87" spans="2:7" ht="13.5" customHeight="1">
      <c r="B87" s="18" t="s">
        <v>295</v>
      </c>
      <c r="C87" s="223" t="s">
        <v>296</v>
      </c>
      <c r="D87" s="223">
        <f>[37]Amortizaciones!D29</f>
        <v>0</v>
      </c>
      <c r="E87" s="138" t="s">
        <v>297</v>
      </c>
      <c r="F87" s="78" t="s">
        <v>298</v>
      </c>
      <c r="G87" s="79">
        <f>SUM('ASOC.ESPAÑOLA:UNIVERSAL SPS'!G87)</f>
        <v>138395483.10499999</v>
      </c>
    </row>
    <row r="88" spans="2:7" ht="13.5" customHeight="1">
      <c r="B88" s="18" t="s">
        <v>299</v>
      </c>
      <c r="C88" s="223" t="s">
        <v>300</v>
      </c>
      <c r="D88" s="223">
        <f>[37]Amortizaciones!D30</f>
        <v>0</v>
      </c>
      <c r="E88" s="138" t="s">
        <v>301</v>
      </c>
      <c r="F88" s="78" t="s">
        <v>302</v>
      </c>
      <c r="G88" s="79">
        <f>SUM('ASOC.ESPAÑOLA:UNIVERSAL SPS'!G88)</f>
        <v>3215898.85</v>
      </c>
    </row>
    <row r="89" spans="2:7">
      <c r="B89" s="18" t="s">
        <v>303</v>
      </c>
      <c r="C89" s="223" t="s">
        <v>212</v>
      </c>
      <c r="D89" s="223">
        <f>[37]Amortizaciones!D31</f>
        <v>0</v>
      </c>
      <c r="E89" s="138" t="s">
        <v>304</v>
      </c>
      <c r="F89" s="78" t="s">
        <v>305</v>
      </c>
      <c r="G89" s="79">
        <f>SUM('ASOC.ESPAÑOLA:UNIVERSAL SPS'!G89)</f>
        <v>470515258.57999998</v>
      </c>
    </row>
    <row r="90" spans="2:7" ht="14.25" customHeight="1">
      <c r="B90" s="18" t="s">
        <v>306</v>
      </c>
      <c r="C90" s="223" t="s">
        <v>228</v>
      </c>
      <c r="D90" s="223">
        <f>[37]Amortizaciones!D32</f>
        <v>0</v>
      </c>
      <c r="E90" s="138" t="s">
        <v>307</v>
      </c>
      <c r="F90" s="78" t="s">
        <v>308</v>
      </c>
      <c r="G90" s="79">
        <f>SUM('ASOC.ESPAÑOLA:UNIVERSAL SPS'!G90)</f>
        <v>79402809.739999995</v>
      </c>
    </row>
    <row r="91" spans="2:7" ht="14.25" customHeight="1">
      <c r="B91" s="18" t="s">
        <v>309</v>
      </c>
      <c r="C91" s="223" t="s">
        <v>310</v>
      </c>
      <c r="D91" s="223">
        <f>SUM(D80:D90)</f>
        <v>0</v>
      </c>
      <c r="E91" s="225" t="s">
        <v>311</v>
      </c>
      <c r="F91" s="78" t="s">
        <v>312</v>
      </c>
      <c r="G91" s="79">
        <f>SUM('ASOC.ESPAÑOLA:UNIVERSAL SPS'!G91)</f>
        <v>14881534.719999999</v>
      </c>
    </row>
    <row r="92" spans="2:7" ht="14.25" customHeight="1">
      <c r="B92" s="18"/>
      <c r="C92" s="226" t="s">
        <v>313</v>
      </c>
      <c r="D92" s="223">
        <f>D77+D91</f>
        <v>11623263</v>
      </c>
      <c r="E92" s="225" t="s">
        <v>314</v>
      </c>
      <c r="F92" s="78" t="s">
        <v>315</v>
      </c>
      <c r="G92" s="79">
        <f>SUM('ASOC.ESPAÑOLA:UNIVERSAL SPS'!G92)</f>
        <v>433327.86</v>
      </c>
    </row>
    <row r="93" spans="2:7">
      <c r="C93" s="116"/>
      <c r="D93" s="116"/>
      <c r="E93" s="225" t="s">
        <v>316</v>
      </c>
      <c r="F93" s="78" t="s">
        <v>317</v>
      </c>
      <c r="G93" s="79">
        <f>SUM('ASOC.ESPAÑOLA:UNIVERSAL SPS'!G93)</f>
        <v>321095219.89999998</v>
      </c>
    </row>
    <row r="94" spans="2:7">
      <c r="C94" s="116"/>
      <c r="D94" s="116"/>
      <c r="E94" s="225" t="s">
        <v>318</v>
      </c>
      <c r="F94" s="78" t="s">
        <v>319</v>
      </c>
      <c r="G94" s="79">
        <f>SUM('ASOC.ESPAÑOLA:UNIVERSAL SPS'!G94)</f>
        <v>64598278</v>
      </c>
    </row>
    <row r="95" spans="2:7" ht="13.5" customHeight="1" thickBot="1">
      <c r="C95" s="116"/>
      <c r="D95" s="116"/>
      <c r="E95" s="138"/>
      <c r="F95" s="85" t="s">
        <v>320</v>
      </c>
      <c r="G95" s="86">
        <f>SUM(G80:G94)</f>
        <v>2072438080.4084997</v>
      </c>
    </row>
    <row r="96" spans="2:7">
      <c r="C96" s="116"/>
      <c r="D96" s="116"/>
      <c r="E96" s="225" t="s">
        <v>321</v>
      </c>
      <c r="F96" s="80" t="s">
        <v>322</v>
      </c>
      <c r="G96" s="79">
        <f>SUM('ASOC.ESPAÑOLA:UNIVERSAL SPS'!G96)</f>
        <v>158338126.49000001</v>
      </c>
    </row>
    <row r="97" spans="2:7">
      <c r="C97" s="116"/>
      <c r="D97" s="116"/>
      <c r="E97" s="225" t="s">
        <v>323</v>
      </c>
      <c r="F97" s="78" t="s">
        <v>324</v>
      </c>
      <c r="G97" s="79">
        <f>SUM('ASOC.ESPAÑOLA:UNIVERSAL SPS'!G97)</f>
        <v>152754337.88999999</v>
      </c>
    </row>
    <row r="98" spans="2:7">
      <c r="C98" s="116"/>
      <c r="D98" s="116"/>
      <c r="E98" s="225" t="s">
        <v>325</v>
      </c>
      <c r="F98" s="78" t="s">
        <v>326</v>
      </c>
      <c r="G98" s="79">
        <f>SUM('ASOC.ESPAÑOLA:UNIVERSAL SPS'!G98)</f>
        <v>4043131.85</v>
      </c>
    </row>
    <row r="99" spans="2:7">
      <c r="C99" s="116"/>
      <c r="D99" s="116"/>
      <c r="E99" s="225" t="s">
        <v>327</v>
      </c>
      <c r="F99" s="78" t="s">
        <v>328</v>
      </c>
      <c r="G99" s="79">
        <f>SUM('ASOC.ESPAÑOLA:UNIVERSAL SPS'!G99)</f>
        <v>131313721.09</v>
      </c>
    </row>
    <row r="100" spans="2:7">
      <c r="C100" s="116"/>
      <c r="D100" s="116"/>
      <c r="E100" s="225" t="s">
        <v>329</v>
      </c>
      <c r="F100" s="78" t="s">
        <v>330</v>
      </c>
      <c r="G100" s="79">
        <f>SUM('ASOC.ESPAÑOLA:UNIVERSAL SPS'!G100)</f>
        <v>15630920.49</v>
      </c>
    </row>
    <row r="101" spans="2:7" ht="12.75" customHeight="1" thickBot="1">
      <c r="C101" s="116"/>
      <c r="D101" s="116"/>
      <c r="E101" s="138"/>
      <c r="F101" s="85" t="s">
        <v>331</v>
      </c>
      <c r="G101" s="86">
        <f>SUM(G96:G100)</f>
        <v>462080237.81000006</v>
      </c>
    </row>
    <row r="102" spans="2:7" ht="12.75" customHeight="1" thickBot="1">
      <c r="C102" s="116"/>
      <c r="D102" s="116"/>
      <c r="E102" s="225"/>
      <c r="F102" s="110" t="s">
        <v>332</v>
      </c>
      <c r="G102" s="248">
        <f>SUM('ASOC.ESPAÑOLA:UNIVERSAL SPS'!G102)</f>
        <v>914537315</v>
      </c>
    </row>
    <row r="103" spans="2:7">
      <c r="C103" s="116"/>
      <c r="D103" s="116"/>
      <c r="E103" s="225" t="s">
        <v>333</v>
      </c>
      <c r="F103" s="78" t="s">
        <v>334</v>
      </c>
      <c r="G103" s="82">
        <f>SUM('ASOC.ESPAÑOLA:UNIVERSAL SPS'!G103)</f>
        <v>0</v>
      </c>
    </row>
    <row r="104" spans="2:7">
      <c r="C104" s="116"/>
      <c r="D104" s="116"/>
      <c r="E104" s="225" t="s">
        <v>335</v>
      </c>
      <c r="F104" s="112" t="s">
        <v>336</v>
      </c>
      <c r="G104" s="79">
        <f>SUM('ASOC.ESPAÑOLA:UNIVERSAL SPS'!G104)</f>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53771153957.42849</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4668462815.9715118</v>
      </c>
    </row>
    <row r="110" spans="2:7" ht="6.75" customHeight="1" thickBot="1">
      <c r="B110" s="5"/>
      <c r="C110" s="227"/>
      <c r="D110" s="227"/>
      <c r="E110" s="138"/>
      <c r="F110" s="116"/>
      <c r="G110" s="116"/>
    </row>
    <row r="111" spans="2:7" ht="15" customHeight="1" thickBot="1">
      <c r="C111" s="72" t="s">
        <v>269</v>
      </c>
      <c r="D111" s="118">
        <f>+[37]E.S.P.!D6</f>
        <v>2021</v>
      </c>
      <c r="E111" s="225"/>
      <c r="F111" s="72" t="s">
        <v>340</v>
      </c>
      <c r="G111" s="118">
        <f>+[37]E.S.P.!D6</f>
        <v>2021</v>
      </c>
    </row>
    <row r="112" spans="2:7" ht="13.7" customHeight="1">
      <c r="B112" s="5" t="s">
        <v>341</v>
      </c>
      <c r="C112" s="119" t="s">
        <v>342</v>
      </c>
      <c r="D112" s="79">
        <f>SUM('ASOC.ESPAÑOLA:UNIVERSAL SPS'!D112)</f>
        <v>208178704</v>
      </c>
      <c r="E112" s="138" t="s">
        <v>343</v>
      </c>
      <c r="F112" s="119" t="s">
        <v>308</v>
      </c>
      <c r="G112" s="79">
        <f>SUM('ASOC.ESPAÑOLA:UNIVERSAL SPS'!G112)</f>
        <v>8721148</v>
      </c>
    </row>
    <row r="113" spans="2:7" ht="13.7" customHeight="1">
      <c r="B113" s="5" t="s">
        <v>344</v>
      </c>
      <c r="C113" s="121" t="s">
        <v>345</v>
      </c>
      <c r="D113" s="79">
        <f>SUM('ASOC.ESPAÑOLA:UNIVERSAL SPS'!D113)</f>
        <v>1811414889.28</v>
      </c>
      <c r="E113" s="138" t="s">
        <v>346</v>
      </c>
      <c r="F113" s="121" t="s">
        <v>347</v>
      </c>
      <c r="G113" s="79">
        <f>SUM('ASOC.ESPAÑOLA:UNIVERSAL SPS'!G113)</f>
        <v>0</v>
      </c>
    </row>
    <row r="114" spans="2:7" ht="13.7" customHeight="1">
      <c r="B114" s="5" t="s">
        <v>348</v>
      </c>
      <c r="C114" s="121" t="s">
        <v>48</v>
      </c>
      <c r="D114" s="79">
        <f>SUM('ASOC.ESPAÑOLA:UNIVERSAL SPS'!D114)</f>
        <v>23597170</v>
      </c>
      <c r="E114" s="138" t="s">
        <v>349</v>
      </c>
      <c r="F114" s="121" t="s">
        <v>350</v>
      </c>
      <c r="G114" s="79">
        <f>SUM('ASOC.ESPAÑOLA:UNIVERSAL SPS'!G114)</f>
        <v>358236213.04000002</v>
      </c>
    </row>
    <row r="115" spans="2:7" ht="13.7" customHeight="1">
      <c r="B115" s="5" t="s">
        <v>351</v>
      </c>
      <c r="C115" s="121" t="s">
        <v>352</v>
      </c>
      <c r="D115" s="79">
        <f>SUM('ASOC.ESPAÑOLA:UNIVERSAL SPS'!D115)</f>
        <v>10840911</v>
      </c>
      <c r="E115" s="138" t="s">
        <v>353</v>
      </c>
      <c r="F115" s="121" t="s">
        <v>354</v>
      </c>
      <c r="G115" s="79">
        <f>SUM('ASOC.ESPAÑOLA:UNIVERSAL SPS'!G115)</f>
        <v>54004319</v>
      </c>
    </row>
    <row r="116" spans="2:7" ht="13.7" customHeight="1">
      <c r="B116" s="5" t="s">
        <v>355</v>
      </c>
      <c r="C116" s="121" t="s">
        <v>356</v>
      </c>
      <c r="D116" s="79">
        <f>SUM('ASOC.ESPAÑOLA:UNIVERSAL SPS'!D116)</f>
        <v>92807324.719999999</v>
      </c>
      <c r="E116" s="138" t="s">
        <v>357</v>
      </c>
      <c r="F116" s="121" t="s">
        <v>358</v>
      </c>
      <c r="G116" s="79">
        <f>SUM('ASOC.ESPAÑOLA:UNIVERSAL SPS'!G116)</f>
        <v>129993051</v>
      </c>
    </row>
    <row r="117" spans="2:7" ht="13.7" customHeight="1">
      <c r="B117" s="5" t="s">
        <v>359</v>
      </c>
      <c r="C117" s="121" t="s">
        <v>360</v>
      </c>
      <c r="D117" s="79">
        <f>SUM('ASOC.ESPAÑOLA:UNIVERSAL SPS'!D117)</f>
        <v>1800044</v>
      </c>
      <c r="E117" s="138" t="s">
        <v>361</v>
      </c>
      <c r="F117" s="121" t="s">
        <v>362</v>
      </c>
      <c r="G117" s="79">
        <f>SUM('ASOC.ESPAÑOLA:UNIVERSAL SPS'!G117)</f>
        <v>1660575</v>
      </c>
    </row>
    <row r="118" spans="2:7" ht="13.7" customHeight="1">
      <c r="B118" s="5" t="s">
        <v>363</v>
      </c>
      <c r="C118" s="121" t="s">
        <v>364</v>
      </c>
      <c r="D118" s="79">
        <f>SUM('ASOC.ESPAÑOLA:UNIVERSAL SPS'!D118)</f>
        <v>898154</v>
      </c>
      <c r="E118" s="138" t="s">
        <v>365</v>
      </c>
      <c r="F118" s="121" t="s">
        <v>366</v>
      </c>
      <c r="G118" s="79">
        <f>SUM('ASOC.ESPAÑOLA:UNIVERSAL SPS'!G118)</f>
        <v>119942</v>
      </c>
    </row>
    <row r="119" spans="2:7" ht="13.7" customHeight="1">
      <c r="B119" s="5" t="s">
        <v>367</v>
      </c>
      <c r="C119" s="121" t="s">
        <v>368</v>
      </c>
      <c r="D119" s="79">
        <f>SUM('ASOC.ESPAÑOLA:UNIVERSAL SPS'!D119)</f>
        <v>16286785.460000001</v>
      </c>
      <c r="E119" s="138" t="s">
        <v>369</v>
      </c>
      <c r="F119" s="121" t="s">
        <v>370</v>
      </c>
      <c r="G119" s="79">
        <f>SUM('ASOC.ESPAÑOLA:UNIVERSAL SPS'!G119)</f>
        <v>2465490</v>
      </c>
    </row>
    <row r="120" spans="2:7" ht="13.7" customHeight="1">
      <c r="B120" s="5" t="s">
        <v>371</v>
      </c>
      <c r="C120" s="121" t="s">
        <v>372</v>
      </c>
      <c r="D120" s="79">
        <f>SUM('ASOC.ESPAÑOLA:UNIVERSAL SPS'!D120)</f>
        <v>11359808</v>
      </c>
      <c r="E120" s="138" t="s">
        <v>373</v>
      </c>
      <c r="F120" s="121" t="s">
        <v>374</v>
      </c>
      <c r="G120" s="79">
        <f>SUM('ASOC.ESPAÑOLA:UNIVERSAL SPS'!G120)</f>
        <v>0</v>
      </c>
    </row>
    <row r="121" spans="2:7" ht="13.7" customHeight="1">
      <c r="B121" s="5" t="s">
        <v>375</v>
      </c>
      <c r="C121" s="78" t="s">
        <v>376</v>
      </c>
      <c r="D121" s="79">
        <f>SUM('ASOC.ESPAÑOLA:UNIVERSAL SPS'!D121)</f>
        <v>75797673.049999997</v>
      </c>
      <c r="E121" s="138" t="s">
        <v>377</v>
      </c>
      <c r="F121" s="121" t="s">
        <v>378</v>
      </c>
      <c r="G121" s="79">
        <f>SUM('ASOC.ESPAÑOLA:UNIVERSAL SPS'!G121)</f>
        <v>218675873.16999999</v>
      </c>
    </row>
    <row r="122" spans="2:7" ht="13.7" customHeight="1" thickBot="1">
      <c r="B122" s="5"/>
      <c r="C122" s="85" t="s">
        <v>379</v>
      </c>
      <c r="D122" s="94">
        <f>SUM(D112:D121)</f>
        <v>2252981463.5100002</v>
      </c>
      <c r="E122" s="138" t="s">
        <v>380</v>
      </c>
      <c r="F122" s="78" t="s">
        <v>381</v>
      </c>
      <c r="G122" s="79">
        <f>SUM('ASOC.ESPAÑOLA:UNIVERSAL SPS'!G122)</f>
        <v>20128006</v>
      </c>
    </row>
    <row r="123" spans="2:7" ht="13.7" customHeight="1" thickBot="1">
      <c r="B123" s="5" t="s">
        <v>382</v>
      </c>
      <c r="C123" s="123" t="s">
        <v>308</v>
      </c>
      <c r="D123" s="79">
        <f>SUM('ASOC.ESPAÑOLA:UNIVERSAL SPS'!D123)</f>
        <v>100660629</v>
      </c>
      <c r="E123" s="225"/>
      <c r="F123" s="85" t="s">
        <v>383</v>
      </c>
      <c r="G123" s="94">
        <f>SUM(G112:G122)</f>
        <v>794004617.20999992</v>
      </c>
    </row>
    <row r="124" spans="2:7" ht="13.7" customHeight="1">
      <c r="B124" s="5" t="s">
        <v>384</v>
      </c>
      <c r="C124" s="121" t="s">
        <v>312</v>
      </c>
      <c r="D124" s="79">
        <f>SUM('ASOC.ESPAÑOLA:UNIVERSAL SPS'!D124)</f>
        <v>450817096</v>
      </c>
      <c r="E124" s="138" t="s">
        <v>385</v>
      </c>
      <c r="F124" s="121" t="s">
        <v>386</v>
      </c>
      <c r="G124" s="79">
        <f>SUM('ASOC.ESPAÑOLA:UNIVERSAL SPS'!G124)</f>
        <v>137222589</v>
      </c>
    </row>
    <row r="125" spans="2:7" ht="13.7" customHeight="1">
      <c r="B125" s="5" t="s">
        <v>387</v>
      </c>
      <c r="C125" s="78" t="s">
        <v>388</v>
      </c>
      <c r="D125" s="79">
        <f>SUM('ASOC.ESPAÑOLA:UNIVERSAL SPS'!D125)</f>
        <v>22605549</v>
      </c>
      <c r="E125" s="138" t="s">
        <v>389</v>
      </c>
      <c r="F125" s="121" t="s">
        <v>390</v>
      </c>
      <c r="G125" s="79">
        <f>SUM('ASOC.ESPAÑOLA:UNIVERSAL SPS'!G125)</f>
        <v>3242761.1</v>
      </c>
    </row>
    <row r="126" spans="2:7" ht="13.7" customHeight="1" thickBot="1">
      <c r="B126" s="5"/>
      <c r="C126" s="85" t="s">
        <v>391</v>
      </c>
      <c r="D126" s="94">
        <f>SUM(D123:D125)</f>
        <v>574083274</v>
      </c>
      <c r="E126" s="138" t="s">
        <v>392</v>
      </c>
      <c r="F126" s="121" t="s">
        <v>393</v>
      </c>
      <c r="G126" s="79">
        <f>SUM('ASOC.ESPAÑOLA:UNIVERSAL SPS'!G126)</f>
        <v>155692496.28</v>
      </c>
    </row>
    <row r="127" spans="2:7" ht="13.7" customHeight="1">
      <c r="B127" s="5" t="s">
        <v>394</v>
      </c>
      <c r="C127" s="119" t="s">
        <v>273</v>
      </c>
      <c r="D127" s="79">
        <f>SUM('ASOC.ESPAÑOLA:UNIVERSAL SPS'!D127)</f>
        <v>91231100</v>
      </c>
      <c r="E127" s="138" t="s">
        <v>395</v>
      </c>
      <c r="F127" s="121" t="s">
        <v>396</v>
      </c>
      <c r="G127" s="79">
        <f>SUM('ASOC.ESPAÑOLA:UNIVERSAL SPS'!G127)</f>
        <v>146967</v>
      </c>
    </row>
    <row r="128" spans="2:7" ht="13.7" customHeight="1">
      <c r="B128" s="5" t="s">
        <v>397</v>
      </c>
      <c r="C128" s="121" t="s">
        <v>398</v>
      </c>
      <c r="D128" s="79">
        <f>SUM('ASOC.ESPAÑOLA:UNIVERSAL SPS'!D128)</f>
        <v>50904893</v>
      </c>
      <c r="E128" s="138" t="s">
        <v>399</v>
      </c>
      <c r="F128" s="121" t="s">
        <v>400</v>
      </c>
      <c r="G128" s="79">
        <f>SUM('ASOC.ESPAÑOLA:UNIVERSAL SPS'!G128)</f>
        <v>6248966</v>
      </c>
    </row>
    <row r="129" spans="2:7" ht="13.7" customHeight="1">
      <c r="B129" s="5" t="s">
        <v>401</v>
      </c>
      <c r="C129" s="121" t="s">
        <v>276</v>
      </c>
      <c r="D129" s="79">
        <f>SUM('ASOC.ESPAÑOLA:UNIVERSAL SPS'!D129)</f>
        <v>22774946</v>
      </c>
      <c r="E129" s="138" t="s">
        <v>402</v>
      </c>
      <c r="F129" s="121" t="s">
        <v>403</v>
      </c>
      <c r="G129" s="79">
        <f>SUM('ASOC.ESPAÑOLA:UNIVERSAL SPS'!G129)</f>
        <v>79315100.25</v>
      </c>
    </row>
    <row r="130" spans="2:7" ht="13.7" customHeight="1">
      <c r="B130" s="5" t="s">
        <v>404</v>
      </c>
      <c r="C130" s="121" t="s">
        <v>282</v>
      </c>
      <c r="D130" s="79">
        <f>SUM('ASOC.ESPAÑOLA:UNIVERSAL SPS'!D130)</f>
        <v>5148447</v>
      </c>
      <c r="E130" s="138" t="s">
        <v>405</v>
      </c>
      <c r="F130" s="121" t="s">
        <v>406</v>
      </c>
      <c r="G130" s="79">
        <f>SUM('ASOC.ESPAÑOLA:UNIVERSAL SPS'!G130)</f>
        <v>0</v>
      </c>
    </row>
    <row r="131" spans="2:7" ht="13.7" customHeight="1">
      <c r="B131" s="5" t="s">
        <v>407</v>
      </c>
      <c r="C131" s="121" t="s">
        <v>286</v>
      </c>
      <c r="D131" s="79">
        <f>SUM('ASOC.ESPAÑOLA:UNIVERSAL SPS'!D131)</f>
        <v>12975665</v>
      </c>
      <c r="E131" s="138" t="s">
        <v>408</v>
      </c>
      <c r="F131" s="121" t="s">
        <v>409</v>
      </c>
      <c r="G131" s="79">
        <f>SUM('ASOC.ESPAÑOLA:UNIVERSAL SPS'!G131)</f>
        <v>206463</v>
      </c>
    </row>
    <row r="132" spans="2:7" ht="13.7" customHeight="1">
      <c r="B132" s="5" t="s">
        <v>410</v>
      </c>
      <c r="C132" s="121" t="s">
        <v>290</v>
      </c>
      <c r="D132" s="79">
        <f>SUM('ASOC.ESPAÑOLA:UNIVERSAL SPS'!D132)</f>
        <v>16557823</v>
      </c>
      <c r="E132" s="138" t="s">
        <v>411</v>
      </c>
      <c r="F132" s="121" t="s">
        <v>412</v>
      </c>
      <c r="G132" s="79">
        <f>SUM('ASOC.ESPAÑOLA:UNIVERSAL SPS'!G132)</f>
        <v>5068849</v>
      </c>
    </row>
    <row r="133" spans="2:7" ht="13.7" customHeight="1">
      <c r="B133" s="5" t="s">
        <v>413</v>
      </c>
      <c r="C133" s="121" t="s">
        <v>294</v>
      </c>
      <c r="D133" s="79">
        <f>SUM('ASOC.ESPAÑOLA:UNIVERSAL SPS'!D133)</f>
        <v>1501781</v>
      </c>
      <c r="E133" s="138" t="s">
        <v>414</v>
      </c>
      <c r="F133" s="121" t="s">
        <v>415</v>
      </c>
      <c r="G133" s="79">
        <f>SUM('ASOC.ESPAÑOLA:UNIVERSAL SPS'!G133)</f>
        <v>107456828</v>
      </c>
    </row>
    <row r="134" spans="2:7" ht="13.7" customHeight="1">
      <c r="B134" s="5" t="s">
        <v>416</v>
      </c>
      <c r="C134" s="121" t="s">
        <v>417</v>
      </c>
      <c r="D134" s="79">
        <f>SUM('ASOC.ESPAÑOLA:UNIVERSAL SPS'!D134)</f>
        <v>196876486</v>
      </c>
      <c r="E134" s="138" t="s">
        <v>418</v>
      </c>
      <c r="F134" s="121" t="s">
        <v>419</v>
      </c>
      <c r="G134" s="79">
        <f>SUM('ASOC.ESPAÑOLA:UNIVERSAL SPS'!G134)</f>
        <v>9965148</v>
      </c>
    </row>
    <row r="135" spans="2:7" ht="13.7" customHeight="1">
      <c r="B135" s="5" t="s">
        <v>420</v>
      </c>
      <c r="C135" s="121" t="s">
        <v>421</v>
      </c>
      <c r="D135" s="79">
        <f>SUM('ASOC.ESPAÑOLA:UNIVERSAL SPS'!D135)</f>
        <v>275543355.93000001</v>
      </c>
      <c r="E135" s="138" t="s">
        <v>422</v>
      </c>
      <c r="F135" s="121" t="s">
        <v>423</v>
      </c>
      <c r="G135" s="79">
        <f>SUM('ASOC.ESPAÑOLA:UNIVERSAL SPS'!G135)</f>
        <v>802751</v>
      </c>
    </row>
    <row r="136" spans="2:7" ht="13.7" customHeight="1">
      <c r="B136" s="5" t="s">
        <v>424</v>
      </c>
      <c r="C136" s="121" t="s">
        <v>317</v>
      </c>
      <c r="D136" s="79">
        <f>SUM('ASOC.ESPAÑOLA:UNIVERSAL SPS'!D136)</f>
        <v>102027723.02</v>
      </c>
      <c r="E136" s="138" t="s">
        <v>425</v>
      </c>
      <c r="F136" s="121" t="s">
        <v>426</v>
      </c>
      <c r="G136" s="79">
        <f>SUM('ASOC.ESPAÑOLA:UNIVERSAL SPS'!G136)</f>
        <v>2634353</v>
      </c>
    </row>
    <row r="137" spans="2:7" ht="13.7" customHeight="1">
      <c r="B137" s="5" t="s">
        <v>427</v>
      </c>
      <c r="C137" s="78" t="s">
        <v>319</v>
      </c>
      <c r="D137" s="79">
        <f>SUM('ASOC.ESPAÑOLA:UNIVERSAL SPS'!D137)</f>
        <v>25039855</v>
      </c>
      <c r="E137" s="138" t="s">
        <v>428</v>
      </c>
      <c r="F137" s="121" t="s">
        <v>429</v>
      </c>
      <c r="G137" s="79">
        <f>SUM('ASOC.ESPAÑOLA:UNIVERSAL SPS'!G137)</f>
        <v>470032880.13</v>
      </c>
    </row>
    <row r="138" spans="2:7" ht="13.7" customHeight="1" thickBot="1">
      <c r="B138" s="5"/>
      <c r="C138" s="85" t="s">
        <v>320</v>
      </c>
      <c r="D138" s="94">
        <f>SUM(D127:D137)</f>
        <v>800582074.95000005</v>
      </c>
      <c r="E138" s="138" t="s">
        <v>430</v>
      </c>
      <c r="F138" s="78" t="s">
        <v>431</v>
      </c>
      <c r="G138" s="79">
        <f>SUM('ASOC.ESPAÑOLA:UNIVERSAL SPS'!G138)</f>
        <v>27055031</v>
      </c>
    </row>
    <row r="139" spans="2:7" ht="13.7" customHeight="1" thickBot="1">
      <c r="B139" s="5" t="s">
        <v>432</v>
      </c>
      <c r="C139" s="119" t="s">
        <v>326</v>
      </c>
      <c r="D139" s="79">
        <f>SUM('ASOC.ESPAÑOLA:UNIVERSAL SPS'!D139)</f>
        <v>31415</v>
      </c>
      <c r="E139" s="228"/>
      <c r="F139" s="85" t="s">
        <v>433</v>
      </c>
      <c r="G139" s="94">
        <f>SUM(G124:G138)</f>
        <v>1005091182.76</v>
      </c>
    </row>
    <row r="140" spans="2:7" ht="13.7" customHeight="1" thickBot="1">
      <c r="B140" s="5" t="s">
        <v>434</v>
      </c>
      <c r="C140" s="121" t="s">
        <v>328</v>
      </c>
      <c r="D140" s="79">
        <f>SUM('ASOC.ESPAÑOLA:UNIVERSAL SPS'!D140)</f>
        <v>32221089</v>
      </c>
      <c r="E140" s="228"/>
      <c r="F140" s="110" t="s">
        <v>435</v>
      </c>
      <c r="G140" s="126">
        <f>G123-G139</f>
        <v>-211086565.55000007</v>
      </c>
    </row>
    <row r="141" spans="2:7" ht="13.7" customHeight="1">
      <c r="B141" s="5" t="s">
        <v>436</v>
      </c>
      <c r="C141" s="78" t="s">
        <v>330</v>
      </c>
      <c r="D141" s="79">
        <f>SUM('ASOC.ESPAÑOLA:UNIVERSAL SPS'!D141)</f>
        <v>1027854</v>
      </c>
      <c r="E141" s="229"/>
      <c r="F141" s="116"/>
      <c r="G141" s="116"/>
    </row>
    <row r="142" spans="2:7" ht="13.7" customHeight="1" thickBot="1">
      <c r="B142" s="5"/>
      <c r="C142" s="85" t="s">
        <v>331</v>
      </c>
      <c r="D142" s="94">
        <f>SUM(D139:D141)</f>
        <v>33280358</v>
      </c>
      <c r="E142" s="229"/>
      <c r="F142" s="116"/>
      <c r="G142" s="116"/>
    </row>
    <row r="143" spans="2:7" ht="13.5" customHeight="1" thickBot="1">
      <c r="B143" s="5"/>
      <c r="C143" s="110" t="s">
        <v>332</v>
      </c>
      <c r="D143" s="248">
        <f>SUM('ASOC.ESPAÑOLA:UNIVERSAL SPS'!D143)</f>
        <v>172068845</v>
      </c>
      <c r="E143" s="138"/>
      <c r="F143" s="72" t="s">
        <v>437</v>
      </c>
      <c r="G143" s="118">
        <f>+[37]E.S.P.!D6</f>
        <v>2021</v>
      </c>
    </row>
    <row r="144" spans="2:7" ht="13.7" customHeight="1">
      <c r="B144" s="5" t="s">
        <v>438</v>
      </c>
      <c r="C144" s="119" t="s">
        <v>439</v>
      </c>
      <c r="D144" s="82">
        <f>SUM('ASOC.ESPAÑOLA:UNIVERSAL SPS'!D144)</f>
        <v>57430837</v>
      </c>
      <c r="E144" s="138" t="s">
        <v>440</v>
      </c>
      <c r="F144" s="119" t="s">
        <v>441</v>
      </c>
      <c r="G144" s="79">
        <f>SUM('ASOC.ESPAÑOLA:UNIVERSAL SPS'!G144)</f>
        <v>102613357.27</v>
      </c>
    </row>
    <row r="145" spans="2:7" ht="13.7" customHeight="1">
      <c r="B145" s="5" t="s">
        <v>442</v>
      </c>
      <c r="C145" s="121" t="s">
        <v>443</v>
      </c>
      <c r="D145" s="79">
        <f>SUM('ASOC.ESPAÑOLA:UNIVERSAL SPS'!D145)</f>
        <v>5421473</v>
      </c>
      <c r="E145" s="138" t="s">
        <v>444</v>
      </c>
      <c r="F145" s="121" t="s">
        <v>445</v>
      </c>
      <c r="G145" s="79">
        <f>SUM('ASOC.ESPAÑOLA:UNIVERSAL SPS'!G145)</f>
        <v>55949958</v>
      </c>
    </row>
    <row r="146" spans="2:7" ht="13.7" customHeight="1">
      <c r="B146" s="5" t="s">
        <v>446</v>
      </c>
      <c r="C146" s="128" t="s">
        <v>447</v>
      </c>
      <c r="D146" s="79">
        <f>SUM('ASOC.ESPAÑOLA:UNIVERSAL SPS'!D146)</f>
        <v>0</v>
      </c>
      <c r="E146" s="138" t="s">
        <v>448</v>
      </c>
      <c r="F146" s="121" t="s">
        <v>449</v>
      </c>
      <c r="G146" s="79">
        <f>SUM('ASOC.ESPAÑOLA:UNIVERSAL SPS'!G146)</f>
        <v>63359095.969999999</v>
      </c>
    </row>
    <row r="147" spans="2:7" ht="13.7" customHeight="1">
      <c r="B147" s="5" t="s">
        <v>450</v>
      </c>
      <c r="C147" s="78" t="s">
        <v>451</v>
      </c>
      <c r="D147" s="79">
        <f>SUM('ASOC.ESPAÑOLA:UNIVERSAL SPS'!D147)</f>
        <v>2205802</v>
      </c>
      <c r="E147" s="138" t="s">
        <v>452</v>
      </c>
      <c r="F147" s="121" t="s">
        <v>453</v>
      </c>
      <c r="G147" s="79">
        <f>SUM('ASOC.ESPAÑOLA:UNIVERSAL SPS'!G147)</f>
        <v>0</v>
      </c>
    </row>
    <row r="148" spans="2:7" ht="13.7" customHeight="1" thickBot="1">
      <c r="B148" s="5"/>
      <c r="C148" s="85" t="s">
        <v>518</v>
      </c>
      <c r="D148" s="94">
        <f>SUM(D144:D147)</f>
        <v>65058112</v>
      </c>
      <c r="E148" s="138" t="s">
        <v>454</v>
      </c>
      <c r="F148" s="121" t="s">
        <v>455</v>
      </c>
      <c r="G148" s="79">
        <f>SUM('ASOC.ESPAÑOLA:UNIVERSAL SPS'!G148)</f>
        <v>0</v>
      </c>
    </row>
    <row r="149" spans="2:7" ht="13.7" customHeight="1">
      <c r="B149" s="5" t="s">
        <v>456</v>
      </c>
      <c r="C149" s="119" t="s">
        <v>457</v>
      </c>
      <c r="D149" s="79">
        <f>SUM('ASOC.ESPAÑOLA:UNIVERSAL SPS'!D149)</f>
        <v>74513603</v>
      </c>
      <c r="E149" s="138" t="s">
        <v>458</v>
      </c>
      <c r="F149" s="121" t="s">
        <v>459</v>
      </c>
      <c r="G149" s="79">
        <f>SUM('ASOC.ESPAÑOLA:UNIVERSAL SPS'!G149)</f>
        <v>0</v>
      </c>
    </row>
    <row r="150" spans="2:7" ht="13.7" customHeight="1">
      <c r="B150" s="5" t="s">
        <v>460</v>
      </c>
      <c r="C150" s="121" t="s">
        <v>461</v>
      </c>
      <c r="D150" s="79">
        <f>SUM('ASOC.ESPAÑOLA:UNIVERSAL SPS'!D150)</f>
        <v>124357896</v>
      </c>
      <c r="E150" s="138" t="s">
        <v>462</v>
      </c>
      <c r="F150" s="121" t="s">
        <v>463</v>
      </c>
      <c r="G150" s="79">
        <f>SUM('ASOC.ESPAÑOLA:UNIVERSAL SPS'!G150)</f>
        <v>0</v>
      </c>
    </row>
    <row r="151" spans="2:7" ht="13.7" customHeight="1">
      <c r="B151" s="5" t="s">
        <v>464</v>
      </c>
      <c r="C151" s="78" t="s">
        <v>465</v>
      </c>
      <c r="D151" s="79">
        <f>SUM('ASOC.ESPAÑOLA:UNIVERSAL SPS'!D151)</f>
        <v>1969504</v>
      </c>
      <c r="E151" s="138" t="s">
        <v>466</v>
      </c>
      <c r="F151" s="121" t="s">
        <v>467</v>
      </c>
      <c r="G151" s="79">
        <f>SUM('ASOC.ESPAÑOLA:UNIVERSAL SPS'!G151)</f>
        <v>803950676</v>
      </c>
    </row>
    <row r="152" spans="2:7" ht="13.7" customHeight="1" thickBot="1">
      <c r="B152" s="5"/>
      <c r="C152" s="85" t="s">
        <v>516</v>
      </c>
      <c r="D152" s="94">
        <f>SUM(D149:D151)</f>
        <v>200841003</v>
      </c>
      <c r="E152" s="138" t="s">
        <v>469</v>
      </c>
      <c r="F152" s="121" t="s">
        <v>470</v>
      </c>
      <c r="G152" s="79">
        <f>SUM('ASOC.ESPAÑOLA:UNIVERSAL SPS'!G152)</f>
        <v>7859674</v>
      </c>
    </row>
    <row r="153" spans="2:7" ht="15" customHeight="1" thickBot="1">
      <c r="B153" s="5"/>
      <c r="C153" s="110" t="s">
        <v>471</v>
      </c>
      <c r="D153" s="129">
        <f>D122+D126+D138+D142+D143+D148+D152</f>
        <v>4098895130.46</v>
      </c>
      <c r="E153" s="138" t="s">
        <v>472</v>
      </c>
      <c r="F153" s="78" t="s">
        <v>473</v>
      </c>
      <c r="G153" s="79">
        <f>SUM('ASOC.ESPAÑOLA:UNIVERSAL SPS'!G153)</f>
        <v>4875109.4399999995</v>
      </c>
    </row>
    <row r="154" spans="2:7" ht="13.7" customHeight="1" thickBot="1">
      <c r="B154" s="5"/>
      <c r="C154" s="116"/>
      <c r="D154" s="116"/>
      <c r="E154" s="138"/>
      <c r="F154" s="85" t="s">
        <v>474</v>
      </c>
      <c r="G154" s="94">
        <f>SUM(G144:G153)</f>
        <v>1038607870.6800001</v>
      </c>
    </row>
    <row r="155" spans="2:7" ht="13.5" customHeight="1" thickBot="1">
      <c r="B155" s="5"/>
      <c r="C155" s="72" t="s">
        <v>475</v>
      </c>
      <c r="D155" s="103">
        <f>G109-D153</f>
        <v>569567685.5115118</v>
      </c>
      <c r="E155" s="138" t="s">
        <v>476</v>
      </c>
      <c r="F155" s="119" t="s">
        <v>477</v>
      </c>
      <c r="G155" s="79">
        <f>SUM('ASOC.ESPAÑOLA:UNIVERSAL SPS'!G155)</f>
        <v>239425101.50999999</v>
      </c>
    </row>
    <row r="156" spans="2:7" ht="13.7" customHeight="1">
      <c r="C156" s="116"/>
      <c r="D156" s="116"/>
      <c r="E156" s="138" t="s">
        <v>478</v>
      </c>
      <c r="F156" s="121" t="s">
        <v>479</v>
      </c>
      <c r="G156" s="79">
        <f>SUM('ASOC.ESPAÑOLA:UNIVERSAL SPS'!G156)</f>
        <v>426977040</v>
      </c>
    </row>
    <row r="157" spans="2:7" ht="13.7" customHeight="1">
      <c r="C157" s="116"/>
      <c r="D157" s="116"/>
      <c r="E157" s="138" t="s">
        <v>480</v>
      </c>
      <c r="F157" s="121" t="s">
        <v>481</v>
      </c>
      <c r="G157" s="79">
        <f>SUM('ASOC.ESPAÑOLA:UNIVERSAL SPS'!G157)</f>
        <v>35416926</v>
      </c>
    </row>
    <row r="158" spans="2:7" ht="13.7" customHeight="1">
      <c r="C158" s="116"/>
      <c r="D158" s="116"/>
      <c r="E158" s="138" t="s">
        <v>482</v>
      </c>
      <c r="F158" s="121" t="s">
        <v>483</v>
      </c>
      <c r="G158" s="79">
        <f>SUM('ASOC.ESPAÑOLA:UNIVERSAL SPS'!G158)</f>
        <v>0</v>
      </c>
    </row>
    <row r="159" spans="2:7" ht="13.7" customHeight="1">
      <c r="C159" s="116"/>
      <c r="D159" s="116"/>
      <c r="E159" s="138" t="s">
        <v>484</v>
      </c>
      <c r="F159" s="121" t="s">
        <v>485</v>
      </c>
      <c r="G159" s="79">
        <f>SUM('ASOC.ESPAÑOLA:UNIVERSAL SPS'!G159)</f>
        <v>2395548</v>
      </c>
    </row>
    <row r="160" spans="2:7" ht="13.7" customHeight="1">
      <c r="C160" s="116"/>
      <c r="D160" s="116"/>
      <c r="E160" s="138" t="s">
        <v>486</v>
      </c>
      <c r="F160" s="121" t="s">
        <v>487</v>
      </c>
      <c r="G160" s="79">
        <f>SUM('ASOC.ESPAÑOLA:UNIVERSAL SPS'!G160)</f>
        <v>9283766.620000001</v>
      </c>
    </row>
    <row r="161" spans="3:7" ht="13.7" customHeight="1">
      <c r="C161" s="116"/>
      <c r="D161" s="116"/>
      <c r="E161" s="138" t="s">
        <v>488</v>
      </c>
      <c r="F161" s="121" t="s">
        <v>489</v>
      </c>
      <c r="G161" s="79">
        <f>SUM('ASOC.ESPAÑOLA:UNIVERSAL SPS'!G161)</f>
        <v>306778720</v>
      </c>
    </row>
    <row r="162" spans="3:7" ht="13.7" customHeight="1">
      <c r="C162" s="116"/>
      <c r="D162" s="116"/>
      <c r="E162" s="138" t="s">
        <v>490</v>
      </c>
      <c r="F162" s="121" t="s">
        <v>491</v>
      </c>
      <c r="G162" s="79">
        <f>SUM('ASOC.ESPAÑOLA:UNIVERSAL SPS'!G162)</f>
        <v>0</v>
      </c>
    </row>
    <row r="163" spans="3:7" ht="13.7" customHeight="1">
      <c r="C163" s="116"/>
      <c r="D163" s="116"/>
      <c r="E163" s="138" t="s">
        <v>492</v>
      </c>
      <c r="F163" s="121" t="s">
        <v>493</v>
      </c>
      <c r="G163" s="79">
        <f>SUM('ASOC.ESPAÑOLA:UNIVERSAL SPS'!G163)</f>
        <v>7544622.6900000004</v>
      </c>
    </row>
    <row r="164" spans="3:7" ht="13.7" customHeight="1">
      <c r="C164" s="116"/>
      <c r="D164" s="116"/>
      <c r="E164" s="138" t="s">
        <v>494</v>
      </c>
      <c r="F164" s="121" t="s">
        <v>495</v>
      </c>
      <c r="G164" s="79">
        <f>SUM('ASOC.ESPAÑOLA:UNIVERSAL SPS'!G164)</f>
        <v>142253</v>
      </c>
    </row>
    <row r="165" spans="3:7" ht="13.7" customHeight="1">
      <c r="C165" s="116"/>
      <c r="D165" s="116"/>
      <c r="E165" s="138" t="s">
        <v>496</v>
      </c>
      <c r="F165" s="121" t="s">
        <v>497</v>
      </c>
      <c r="G165" s="79">
        <f>SUM('ASOC.ESPAÑOLA:UNIVERSAL SPS'!G165)</f>
        <v>0</v>
      </c>
    </row>
    <row r="166" spans="3:7" ht="13.7" customHeight="1">
      <c r="C166" s="116"/>
      <c r="D166" s="116"/>
      <c r="E166" s="138" t="s">
        <v>498</v>
      </c>
      <c r="F166" s="121" t="s">
        <v>499</v>
      </c>
      <c r="G166" s="79">
        <f>SUM('ASOC.ESPAÑOLA:UNIVERSAL SPS'!G166)</f>
        <v>63307762.619999997</v>
      </c>
    </row>
    <row r="167" spans="3:7" ht="13.7" customHeight="1">
      <c r="C167" s="116"/>
      <c r="D167" s="116"/>
      <c r="E167" s="138" t="s">
        <v>500</v>
      </c>
      <c r="F167" s="78" t="s">
        <v>501</v>
      </c>
      <c r="G167" s="79">
        <f>SUM('ASOC.ESPAÑOLA:UNIVERSAL SPS'!G167)</f>
        <v>42666505</v>
      </c>
    </row>
    <row r="168" spans="3:7" ht="13.7" customHeight="1" thickBot="1">
      <c r="C168" s="116"/>
      <c r="D168" s="116"/>
      <c r="E168" s="138"/>
      <c r="F168" s="85" t="s">
        <v>502</v>
      </c>
      <c r="G168" s="94">
        <f>SUM(G155:G167)</f>
        <v>1133938245.4400001</v>
      </c>
    </row>
    <row r="169" spans="3:7" ht="13.7" customHeight="1" thickBot="1">
      <c r="C169" s="116"/>
      <c r="D169" s="116"/>
      <c r="E169" s="138"/>
      <c r="F169" s="110" t="s">
        <v>503</v>
      </c>
      <c r="G169" s="126">
        <f>G154-G168</f>
        <v>-95330374.75999999</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263150745.20151174</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79">
        <f>SUM('ASOC.ESPAÑOLA:UNIVERSAL SPS'!G175)</f>
        <v>0</v>
      </c>
    </row>
    <row r="176" spans="3:7" ht="13.7" customHeight="1">
      <c r="C176" s="116"/>
      <c r="D176" s="116"/>
      <c r="E176" s="138"/>
      <c r="F176" s="121" t="s">
        <v>507</v>
      </c>
      <c r="G176" s="79">
        <f>SUM('ASOC.ESPAÑOLA:UNIVERSAL SPS'!G176)</f>
        <v>0</v>
      </c>
    </row>
    <row r="177" spans="1:8" ht="13.7" customHeight="1" thickBot="1">
      <c r="C177" s="116"/>
      <c r="D177" s="116"/>
      <c r="E177" s="138"/>
      <c r="F177" s="121" t="s">
        <v>508</v>
      </c>
      <c r="G177" s="79">
        <f>SUM('ASOC.ESPAÑOLA:UNIVERSAL SPS'!G177)</f>
        <v>273309463</v>
      </c>
    </row>
    <row r="178" spans="1:8" ht="13.7" customHeight="1" thickBot="1">
      <c r="C178" s="116"/>
      <c r="D178" s="116"/>
      <c r="E178" s="138"/>
      <c r="F178" s="72" t="s">
        <v>509</v>
      </c>
      <c r="G178" s="103">
        <f>SUM(G175:G177)</f>
        <v>273309463</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536460208.20151174</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13" priority="6" stopIfTrue="1" operator="greaterThan">
      <formula>50</formula>
    </cfRule>
    <cfRule type="cellIs" dxfId="112" priority="15" stopIfTrue="1" operator="equal">
      <formula>0</formula>
    </cfRule>
  </conditionalFormatting>
  <conditionalFormatting sqref="D29 D20:D21 D35 D47:D48 D52:D55 D60:D61 D7:D12">
    <cfRule type="cellIs" dxfId="111" priority="13" stopIfTrue="1" operator="between">
      <formula>-0.1</formula>
      <formula>-50</formula>
    </cfRule>
    <cfRule type="cellIs" dxfId="110" priority="14" stopIfTrue="1" operator="between">
      <formula>0.1</formula>
      <formula>50</formula>
    </cfRule>
  </conditionalFormatting>
  <conditionalFormatting sqref="G154 G19 G27 G32:G33 G40 G48 G57 G79 G95 G101 G105:G111 G123 G139:G143 G168:G174 G178:G181">
    <cfRule type="cellIs" dxfId="109" priority="11" stopIfTrue="1" operator="between">
      <formula>-0.1</formula>
      <formula>-50</formula>
    </cfRule>
    <cfRule type="cellIs" dxfId="108" priority="12" stopIfTrue="1" operator="between">
      <formula>0.1</formula>
      <formula>50</formula>
    </cfRule>
  </conditionalFormatting>
  <conditionalFormatting sqref="D111 D122 D126 D138 D142 D148 D152:D155">
    <cfRule type="cellIs" dxfId="107" priority="9" stopIfTrue="1" operator="between">
      <formula>-0.1</formula>
      <formula>-50</formula>
    </cfRule>
    <cfRule type="cellIs" dxfId="106" priority="10" stopIfTrue="1" operator="between">
      <formula>0.1</formula>
      <formula>50</formula>
    </cfRule>
  </conditionalFormatting>
  <dataValidations count="7">
    <dataValidation operator="greaterThanOrEqual" allowBlank="1" errorTitle="Error de datos" error="Debe ingresar un valor entero positivo" sqref="F6:F107 F203 C13:C47 C106:C153 F171 F174:F178 F180 F111:F119 C7:C10 F121:F140 F143:F169 C49:C62 C155 F109"/>
    <dataValidation allowBlank="1" sqref="G204"/>
    <dataValidation allowBlank="1" errorTitle="Error de datos" error="Debe introducir una fecha válida" sqref="E3"/>
    <dataValidation type="whole" allowBlank="1" showErrorMessage="1" errorTitle="Error de datos" error="Debe ingresar un valor entre 1 y 12" sqref="G1:G3">
      <formula1>1</formula1>
      <formula2>12</formula2>
    </dataValidation>
    <dataValidation type="custom" operator="greaterThan" showInputMessage="1" showErrorMessage="1" errorTitle="eee" sqref="D148 D47:D48 G123 G168:G174 D20:D21 D29 D35 D62:D111 D52:D55 D122 D126 D138 G178:G181 D152:D155 G19 G27 G32:G33 G40 G48 G57 G79 G95 D142 G105:G111 G139:G140 G154 G101">
      <formula1>OR(D19=0, D19&gt;50)</formula1>
    </dataValidation>
    <dataValidation type="custom" operator="greaterThan" showInputMessage="1" showErrorMessage="1" errorTitle="eee" sqref="D60:D61">
      <formula1>OR(D60=0, D60&lt;0)</formula1>
    </dataValidation>
    <dataValidation type="whole" operator="greaterThan" showInputMessage="1" showErrorMessage="1" errorTitle="eee" error="Valores mayores a $50" sqref="D7:D19 D22:D28 D30:D34 D36:D46 D49:D51 D56:D59 D112:D121 D123:D125 D127:D137 D139:D141 D149:D151 G102:G104 G7:G18 G20:G26 G28:G31 G34:G39 G41:G47 G49:G56 G96:G100 G80:G94 G112:G122 G124:G138 G144:G153 G155:G167 G175:G177 D143:D147 G58:G78">
      <formula1>50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D7:D61 D112:D165 G7 G19:G20 G27:G28 G32:G34 G40:G41 G48:G49 G57:G58 G79:G80 G95:G96 G101:G1048576" unlocked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topLeftCell="A154" zoomScaleNormal="100" zoomScaleSheetLayoutView="100" workbookViewId="0">
      <selection activeCell="G79" sqref="G79"/>
    </sheetView>
  </sheetViews>
  <sheetFormatPr baseColWidth="10" defaultColWidth="0" defaultRowHeight="15.75" zeroHeight="1"/>
  <cols>
    <col min="1" max="1" width="3" style="1" customWidth="1"/>
    <col min="2" max="2" width="14.28515625" style="6" hidden="1" customWidth="1"/>
    <col min="3" max="3" width="57" style="19" customWidth="1"/>
    <col min="4" max="4" width="21" style="19" customWidth="1"/>
    <col min="5" max="5" width="3.85546875" style="13" customWidth="1"/>
    <col min="6" max="6" width="57.28515625" style="19" customWidth="1"/>
    <col min="7" max="7" width="21" style="19" customWidth="1"/>
    <col min="8" max="8" width="3.5703125" style="4" customWidth="1"/>
    <col min="9" max="16384" width="0" style="4" hidden="1"/>
  </cols>
  <sheetData>
    <row r="1" spans="1:9">
      <c r="B1" s="2"/>
      <c r="C1" s="255" t="s">
        <v>0</v>
      </c>
      <c r="D1" s="258"/>
      <c r="E1" s="253" t="s">
        <v>513</v>
      </c>
      <c r="F1" s="253"/>
      <c r="G1" s="136"/>
      <c r="H1" s="3"/>
    </row>
    <row r="2" spans="1:9">
      <c r="B2" s="5"/>
      <c r="C2" s="255" t="s">
        <v>1</v>
      </c>
      <c r="D2" s="258"/>
      <c r="E2" s="253" t="s">
        <v>514</v>
      </c>
      <c r="F2" s="253"/>
      <c r="G2" s="136"/>
      <c r="H2" s="3"/>
    </row>
    <row r="3" spans="1:9">
      <c r="B3" s="5"/>
      <c r="C3" s="263" t="s">
        <v>2</v>
      </c>
      <c r="D3" s="263"/>
      <c r="E3" s="254" t="s">
        <v>3</v>
      </c>
      <c r="F3" s="254"/>
      <c r="G3" s="136"/>
      <c r="H3" s="3"/>
    </row>
    <row r="4" spans="1:9" ht="12.75" customHeight="1" thickBot="1">
      <c r="C4" s="65"/>
      <c r="D4" s="7"/>
      <c r="E4" s="8"/>
      <c r="F4" s="9"/>
      <c r="G4" s="10"/>
    </row>
    <row r="5" spans="1:9" ht="17.25" customHeight="1" thickBot="1">
      <c r="B5" s="11"/>
      <c r="C5" s="72" t="s">
        <v>4</v>
      </c>
      <c r="D5" s="73" t="s">
        <v>5</v>
      </c>
      <c r="E5" s="137"/>
      <c r="F5" s="72" t="s">
        <v>6</v>
      </c>
      <c r="G5" s="73" t="s">
        <v>5</v>
      </c>
      <c r="I5" s="12"/>
    </row>
    <row r="6" spans="1:9" ht="12.75" customHeight="1" thickBot="1">
      <c r="B6" s="11"/>
      <c r="C6" s="75" t="s">
        <v>7</v>
      </c>
      <c r="D6" s="76">
        <f>+[37]E.S.P.!D6</f>
        <v>2021</v>
      </c>
      <c r="E6" s="138"/>
      <c r="F6" s="75" t="s">
        <v>8</v>
      </c>
      <c r="G6" s="76">
        <f>+D6</f>
        <v>2021</v>
      </c>
      <c r="H6" s="12"/>
    </row>
    <row r="7" spans="1:9">
      <c r="B7" s="5" t="s">
        <v>9</v>
      </c>
      <c r="C7" s="78" t="s">
        <v>10</v>
      </c>
      <c r="D7" s="79">
        <f>SUM(GREMEDA:IAC!D7)</f>
        <v>765585425</v>
      </c>
      <c r="E7" s="138" t="s">
        <v>11</v>
      </c>
      <c r="F7" s="80" t="s">
        <v>12</v>
      </c>
      <c r="G7" s="79">
        <f>SUM(GREMEDA:IAC!G7)</f>
        <v>207363624.32999998</v>
      </c>
    </row>
    <row r="8" spans="1:9">
      <c r="B8" s="5" t="s">
        <v>13</v>
      </c>
      <c r="C8" s="78" t="s">
        <v>14</v>
      </c>
      <c r="D8" s="79">
        <f>SUM(GREMEDA:IAC!D8)</f>
        <v>1456103613</v>
      </c>
      <c r="E8" s="138" t="s">
        <v>15</v>
      </c>
      <c r="F8" s="78" t="s">
        <v>16</v>
      </c>
      <c r="G8" s="79">
        <f>SUM(GREMEDA:IAC!G8)</f>
        <v>1936467524.4799998</v>
      </c>
    </row>
    <row r="9" spans="1:9">
      <c r="B9" s="5" t="s">
        <v>17</v>
      </c>
      <c r="C9" s="78" t="s">
        <v>18</v>
      </c>
      <c r="D9" s="79">
        <f>SUM(GREMEDA:IAC!D9)</f>
        <v>26816997882.23</v>
      </c>
      <c r="E9" s="138" t="s">
        <v>19</v>
      </c>
      <c r="F9" s="78" t="s">
        <v>20</v>
      </c>
      <c r="G9" s="79">
        <f>SUM(GREMEDA:IAC!G9)</f>
        <v>707096568.77999997</v>
      </c>
    </row>
    <row r="10" spans="1:9">
      <c r="B10" s="5" t="s">
        <v>21</v>
      </c>
      <c r="C10" s="78" t="s">
        <v>22</v>
      </c>
      <c r="D10" s="79">
        <f>SUM(GREMEDA:IAC!D10)</f>
        <v>2614384561</v>
      </c>
      <c r="E10" s="138" t="s">
        <v>23</v>
      </c>
      <c r="F10" s="78" t="s">
        <v>24</v>
      </c>
      <c r="G10" s="79">
        <f>SUM(GREMEDA:IAC!G10)</f>
        <v>5129860118.1499996</v>
      </c>
    </row>
    <row r="11" spans="1:9">
      <c r="B11" s="5" t="s">
        <v>25</v>
      </c>
      <c r="C11" s="78" t="s">
        <v>26</v>
      </c>
      <c r="D11" s="79">
        <f>SUM(GREMEDA:IAC!D11)</f>
        <v>580753309</v>
      </c>
      <c r="E11" s="138" t="s">
        <v>27</v>
      </c>
      <c r="F11" s="78" t="s">
        <v>28</v>
      </c>
      <c r="G11" s="79">
        <f>SUM(GREMEDA:IAC!G11)</f>
        <v>2141802021</v>
      </c>
    </row>
    <row r="12" spans="1:9">
      <c r="B12" s="5" t="s">
        <v>29</v>
      </c>
      <c r="C12" s="78" t="s">
        <v>30</v>
      </c>
      <c r="D12" s="79">
        <f>SUM(GREMEDA:IAC!D12)</f>
        <v>588832353</v>
      </c>
      <c r="E12" s="138" t="s">
        <v>31</v>
      </c>
      <c r="F12" s="78" t="s">
        <v>32</v>
      </c>
      <c r="G12" s="79">
        <f>SUM(GREMEDA:IAC!G12)</f>
        <v>1688370749.6199999</v>
      </c>
    </row>
    <row r="13" spans="1:9">
      <c r="B13" s="5" t="s">
        <v>33</v>
      </c>
      <c r="C13" s="78" t="s">
        <v>34</v>
      </c>
      <c r="D13" s="79">
        <f>SUM(GREMEDA:IAC!D13)</f>
        <v>71987239</v>
      </c>
      <c r="E13" s="138" t="s">
        <v>35</v>
      </c>
      <c r="F13" s="78" t="s">
        <v>36</v>
      </c>
      <c r="G13" s="79">
        <f>SUM(GREMEDA:IAC!G13)</f>
        <v>462914982</v>
      </c>
    </row>
    <row r="14" spans="1:9">
      <c r="A14" s="14"/>
      <c r="B14" s="5" t="s">
        <v>37</v>
      </c>
      <c r="C14" s="78" t="s">
        <v>38</v>
      </c>
      <c r="D14" s="79">
        <f>SUM(GREMEDA:IAC!D14)</f>
        <v>221457434</v>
      </c>
      <c r="E14" s="138" t="s">
        <v>39</v>
      </c>
      <c r="F14" s="78" t="s">
        <v>40</v>
      </c>
      <c r="G14" s="79">
        <f>SUM(GREMEDA:IAC!G14)</f>
        <v>4619095534.2700005</v>
      </c>
    </row>
    <row r="15" spans="1:9">
      <c r="B15" s="5" t="s">
        <v>41</v>
      </c>
      <c r="C15" s="83" t="s">
        <v>42</v>
      </c>
      <c r="D15" s="79">
        <f>SUM(GREMEDA:IAC!D15)</f>
        <v>26394878</v>
      </c>
      <c r="E15" s="138" t="s">
        <v>43</v>
      </c>
      <c r="F15" s="78" t="s">
        <v>44</v>
      </c>
      <c r="G15" s="79">
        <f>SUM(GREMEDA:IAC!G15)</f>
        <v>1914633965.5499995</v>
      </c>
    </row>
    <row r="16" spans="1:9">
      <c r="B16" s="5" t="s">
        <v>45</v>
      </c>
      <c r="C16" s="78" t="s">
        <v>46</v>
      </c>
      <c r="D16" s="79">
        <f>SUM(GREMEDA:IAC!D16)</f>
        <v>3396</v>
      </c>
      <c r="E16" s="138" t="s">
        <v>47</v>
      </c>
      <c r="F16" s="78" t="s">
        <v>48</v>
      </c>
      <c r="G16" s="79">
        <f>SUM(GREMEDA:IAC!G16)</f>
        <v>1643641092.6699998</v>
      </c>
    </row>
    <row r="17" spans="1:7">
      <c r="B17" s="5" t="s">
        <v>49</v>
      </c>
      <c r="C17" s="78" t="s">
        <v>50</v>
      </c>
      <c r="D17" s="79">
        <f>SUM(GREMEDA:IAC!D17)</f>
        <v>0</v>
      </c>
      <c r="E17" s="138" t="s">
        <v>51</v>
      </c>
      <c r="F17" s="78" t="s">
        <v>52</v>
      </c>
      <c r="G17" s="79">
        <f>SUM(GREMEDA:IAC!G17)</f>
        <v>72163905</v>
      </c>
    </row>
    <row r="18" spans="1:7">
      <c r="A18" s="14"/>
      <c r="B18" s="5" t="s">
        <v>53</v>
      </c>
      <c r="C18" s="78" t="s">
        <v>54</v>
      </c>
      <c r="D18" s="79">
        <f>SUM(GREMEDA:IAC!D18)</f>
        <v>288625365</v>
      </c>
      <c r="E18" s="138" t="s">
        <v>55</v>
      </c>
      <c r="F18" s="78" t="s">
        <v>56</v>
      </c>
      <c r="G18" s="79">
        <f>SUM(GREMEDA:IAC!G18)</f>
        <v>722515044.5</v>
      </c>
    </row>
    <row r="19" spans="1:7" ht="16.5" thickBot="1">
      <c r="A19" s="14"/>
      <c r="B19" s="5" t="s">
        <v>57</v>
      </c>
      <c r="C19" s="78" t="s">
        <v>58</v>
      </c>
      <c r="D19" s="79">
        <f>SUM(GREMEDA:IAC!D19)</f>
        <v>1178110775.1381946</v>
      </c>
      <c r="E19" s="138"/>
      <c r="F19" s="85" t="s">
        <v>59</v>
      </c>
      <c r="G19" s="86">
        <f>SUM(G7:G18)</f>
        <v>21245925130.349998</v>
      </c>
    </row>
    <row r="20" spans="1:7" ht="16.5" thickBot="1">
      <c r="B20" s="5"/>
      <c r="C20" s="85" t="s">
        <v>60</v>
      </c>
      <c r="D20" s="86">
        <f>SUM(D7:D19)</f>
        <v>34609236230.368195</v>
      </c>
      <c r="E20" s="138" t="s">
        <v>61</v>
      </c>
      <c r="F20" s="80" t="s">
        <v>62</v>
      </c>
      <c r="G20" s="79">
        <f>SUM(GREMEDA:IAC!G20)</f>
        <v>9810029.8400000017</v>
      </c>
    </row>
    <row r="21" spans="1:7">
      <c r="B21" s="5"/>
      <c r="C21" s="87" t="s">
        <v>63</v>
      </c>
      <c r="D21" s="88">
        <f>SUM(D22:D28)</f>
        <v>398796122.8329373</v>
      </c>
      <c r="E21" s="138" t="s">
        <v>64</v>
      </c>
      <c r="F21" s="78" t="s">
        <v>65</v>
      </c>
      <c r="G21" s="79">
        <f>SUM(GREMEDA:IAC!G21)</f>
        <v>606740388.81999993</v>
      </c>
    </row>
    <row r="22" spans="1:7">
      <c r="B22" s="5" t="s">
        <v>66</v>
      </c>
      <c r="C22" s="78" t="s">
        <v>67</v>
      </c>
      <c r="D22" s="79">
        <f>SUM(GREMEDA:IAC!D22)</f>
        <v>223825690.50999999</v>
      </c>
      <c r="E22" s="138" t="s">
        <v>68</v>
      </c>
      <c r="F22" s="78" t="s">
        <v>69</v>
      </c>
      <c r="G22" s="79">
        <f>SUM(GREMEDA:IAC!G22)</f>
        <v>100402179.75</v>
      </c>
    </row>
    <row r="23" spans="1:7">
      <c r="B23" s="5" t="s">
        <v>70</v>
      </c>
      <c r="C23" s="78" t="s">
        <v>71</v>
      </c>
      <c r="D23" s="79">
        <f>SUM(GREMEDA:IAC!D23)</f>
        <v>23245513.219999999</v>
      </c>
      <c r="E23" s="138" t="s">
        <v>72</v>
      </c>
      <c r="F23" s="78" t="s">
        <v>73</v>
      </c>
      <c r="G23" s="79">
        <f>SUM(GREMEDA:IAC!G23)</f>
        <v>389923724.93999994</v>
      </c>
    </row>
    <row r="24" spans="1:7">
      <c r="B24" s="5" t="s">
        <v>74</v>
      </c>
      <c r="C24" s="78" t="s">
        <v>75</v>
      </c>
      <c r="D24" s="79">
        <f>SUM(GREMEDA:IAC!D24)</f>
        <v>81980621.420000002</v>
      </c>
      <c r="E24" s="138" t="s">
        <v>76</v>
      </c>
      <c r="F24" s="78" t="s">
        <v>77</v>
      </c>
      <c r="G24" s="79">
        <f>SUM(GREMEDA:IAC!G24)</f>
        <v>44389594</v>
      </c>
    </row>
    <row r="25" spans="1:7">
      <c r="B25" s="5" t="s">
        <v>78</v>
      </c>
      <c r="C25" s="78" t="s">
        <v>79</v>
      </c>
      <c r="D25" s="79">
        <f>SUM(GREMEDA:IAC!D25)</f>
        <v>15988540.780000001</v>
      </c>
      <c r="E25" s="138" t="s">
        <v>80</v>
      </c>
      <c r="F25" s="78" t="s">
        <v>81</v>
      </c>
      <c r="G25" s="79">
        <f>SUM(GREMEDA:IAC!G25)</f>
        <v>115522397.05000001</v>
      </c>
    </row>
    <row r="26" spans="1:7">
      <c r="B26" s="5" t="s">
        <v>82</v>
      </c>
      <c r="C26" s="78" t="s">
        <v>83</v>
      </c>
      <c r="D26" s="79">
        <f>SUM(GREMEDA:IAC!D26)</f>
        <v>24156539.100000001</v>
      </c>
      <c r="E26" s="138" t="s">
        <v>84</v>
      </c>
      <c r="F26" s="78" t="s">
        <v>85</v>
      </c>
      <c r="G26" s="79">
        <f>SUM(GREMEDA:IAC!G26)</f>
        <v>45030235</v>
      </c>
    </row>
    <row r="27" spans="1:7" ht="13.5" customHeight="1" thickBot="1">
      <c r="B27" s="5" t="s">
        <v>86</v>
      </c>
      <c r="C27" s="78" t="s">
        <v>87</v>
      </c>
      <c r="D27" s="79">
        <f>SUM(GREMEDA:IAC!D27)</f>
        <v>15480516</v>
      </c>
      <c r="E27" s="138"/>
      <c r="F27" s="85" t="s">
        <v>88</v>
      </c>
      <c r="G27" s="86">
        <f>SUM(G20:G26)</f>
        <v>1311818549.3999999</v>
      </c>
    </row>
    <row r="28" spans="1:7">
      <c r="B28" s="5" t="s">
        <v>89</v>
      </c>
      <c r="C28" s="78" t="s">
        <v>90</v>
      </c>
      <c r="D28" s="79">
        <f>SUM(GREMEDA:IAC!D28)</f>
        <v>14118701.802937329</v>
      </c>
      <c r="E28" s="138" t="s">
        <v>91</v>
      </c>
      <c r="F28" s="80" t="s">
        <v>92</v>
      </c>
      <c r="G28" s="79">
        <f>SUM(GREMEDA:IAC!G28)</f>
        <v>1506852875.8</v>
      </c>
    </row>
    <row r="29" spans="1:7">
      <c r="B29" s="5"/>
      <c r="C29" s="89" t="s">
        <v>93</v>
      </c>
      <c r="D29" s="88">
        <f>SUM(D30:D34)</f>
        <v>2506156954.1230545</v>
      </c>
      <c r="E29" s="138" t="s">
        <v>94</v>
      </c>
      <c r="F29" s="78" t="s">
        <v>95</v>
      </c>
      <c r="G29" s="79">
        <f>SUM(GREMEDA:IAC!G29)</f>
        <v>488639051.56</v>
      </c>
    </row>
    <row r="30" spans="1:7">
      <c r="B30" s="5" t="s">
        <v>96</v>
      </c>
      <c r="C30" s="78" t="s">
        <v>97</v>
      </c>
      <c r="D30" s="79">
        <f>SUM(GREMEDA:IAC!D30)</f>
        <v>2056507480.4000001</v>
      </c>
      <c r="E30" s="138" t="s">
        <v>98</v>
      </c>
      <c r="F30" s="78" t="s">
        <v>99</v>
      </c>
      <c r="G30" s="79">
        <f>SUM(GREMEDA:IAC!G30)</f>
        <v>523410475.5</v>
      </c>
    </row>
    <row r="31" spans="1:7">
      <c r="B31" s="5" t="s">
        <v>100</v>
      </c>
      <c r="C31" s="78" t="s">
        <v>101</v>
      </c>
      <c r="D31" s="79">
        <f>SUM(GREMEDA:IAC!D31)</f>
        <v>171991931.56</v>
      </c>
      <c r="E31" s="138" t="s">
        <v>102</v>
      </c>
      <c r="F31" s="78" t="s">
        <v>103</v>
      </c>
      <c r="G31" s="79">
        <f>SUM(GREMEDA:IAC!G31)</f>
        <v>86393835.736296237</v>
      </c>
    </row>
    <row r="32" spans="1:7" ht="16.5" thickBot="1">
      <c r="B32" s="5" t="s">
        <v>104</v>
      </c>
      <c r="C32" s="78" t="s">
        <v>105</v>
      </c>
      <c r="D32" s="79">
        <f>SUM(GREMEDA:IAC!D32)</f>
        <v>169260249.34999999</v>
      </c>
      <c r="E32" s="138"/>
      <c r="F32" s="85" t="s">
        <v>106</v>
      </c>
      <c r="G32" s="86">
        <f>SUM(G28:G31)</f>
        <v>2605296238.5962958</v>
      </c>
    </row>
    <row r="33" spans="2:7">
      <c r="B33" s="5" t="s">
        <v>107</v>
      </c>
      <c r="C33" s="78" t="s">
        <v>108</v>
      </c>
      <c r="D33" s="79">
        <f>SUM(GREMEDA:IAC!D33)</f>
        <v>27993881</v>
      </c>
      <c r="E33" s="138"/>
      <c r="F33" s="89" t="s">
        <v>109</v>
      </c>
      <c r="G33" s="88">
        <f>SUM(G34:G39)</f>
        <v>2364472031.6300001</v>
      </c>
    </row>
    <row r="34" spans="2:7">
      <c r="B34" s="5" t="s">
        <v>110</v>
      </c>
      <c r="C34" s="78" t="s">
        <v>111</v>
      </c>
      <c r="D34" s="79">
        <f>SUM(GREMEDA:IAC!D34)</f>
        <v>80403411.813054383</v>
      </c>
      <c r="E34" s="138" t="s">
        <v>112</v>
      </c>
      <c r="F34" s="78" t="s">
        <v>113</v>
      </c>
      <c r="G34" s="79">
        <f>SUM(GREMEDA:IAC!G34)</f>
        <v>138868031.41900295</v>
      </c>
    </row>
    <row r="35" spans="2:7" ht="16.5" thickBot="1">
      <c r="B35" s="5"/>
      <c r="C35" s="85" t="s">
        <v>114</v>
      </c>
      <c r="D35" s="86">
        <f>+D21+D29</f>
        <v>2904953076.9559917</v>
      </c>
      <c r="E35" s="138" t="s">
        <v>115</v>
      </c>
      <c r="F35" s="78" t="s">
        <v>116</v>
      </c>
      <c r="G35" s="79">
        <f>SUM(GREMEDA:IAC!G35)</f>
        <v>56922664.276716806</v>
      </c>
    </row>
    <row r="36" spans="2:7">
      <c r="B36" s="5" t="s">
        <v>117</v>
      </c>
      <c r="C36" s="78" t="s">
        <v>118</v>
      </c>
      <c r="D36" s="79">
        <f>SUM(GREMEDA:IAC!D36)</f>
        <v>177226289</v>
      </c>
      <c r="E36" s="138" t="s">
        <v>119</v>
      </c>
      <c r="F36" s="78" t="s">
        <v>517</v>
      </c>
      <c r="G36" s="79">
        <f>SUM(GREMEDA:IAC!G36)</f>
        <v>59019617.62303602</v>
      </c>
    </row>
    <row r="37" spans="2:7">
      <c r="B37" s="5" t="s">
        <v>120</v>
      </c>
      <c r="C37" s="78" t="s">
        <v>121</v>
      </c>
      <c r="D37" s="79">
        <f>SUM(GREMEDA:IAC!D37)</f>
        <v>423160443</v>
      </c>
      <c r="E37" s="138" t="s">
        <v>122</v>
      </c>
      <c r="F37" s="78" t="s">
        <v>123</v>
      </c>
      <c r="G37" s="79">
        <f>SUM(GREMEDA:IAC!G37)</f>
        <v>157809544.60401982</v>
      </c>
    </row>
    <row r="38" spans="2:7">
      <c r="B38" s="5" t="s">
        <v>124</v>
      </c>
      <c r="C38" s="78" t="s">
        <v>125</v>
      </c>
      <c r="D38" s="79">
        <f>SUM(GREMEDA:IAC!D38)</f>
        <v>85904585.079999998</v>
      </c>
      <c r="E38" s="138" t="s">
        <v>126</v>
      </c>
      <c r="F38" s="78" t="s">
        <v>127</v>
      </c>
      <c r="G38" s="79">
        <f>SUM(GREMEDA:IAC!G38)</f>
        <v>271629227.82851714</v>
      </c>
    </row>
    <row r="39" spans="2:7">
      <c r="B39" s="5" t="s">
        <v>128</v>
      </c>
      <c r="C39" s="78" t="s">
        <v>129</v>
      </c>
      <c r="D39" s="79">
        <f>SUM(GREMEDA:IAC!D39)</f>
        <v>121762292</v>
      </c>
      <c r="E39" s="138" t="s">
        <v>130</v>
      </c>
      <c r="F39" s="78" t="s">
        <v>131</v>
      </c>
      <c r="G39" s="79">
        <f>SUM(GREMEDA:IAC!G39)</f>
        <v>1680222945.8787072</v>
      </c>
    </row>
    <row r="40" spans="2:7">
      <c r="B40" s="5" t="s">
        <v>132</v>
      </c>
      <c r="C40" s="78" t="s">
        <v>133</v>
      </c>
      <c r="D40" s="79">
        <f>SUM(GREMEDA:IAC!D40)</f>
        <v>180767063.63999999</v>
      </c>
      <c r="E40" s="138"/>
      <c r="F40" s="90" t="s">
        <v>134</v>
      </c>
      <c r="G40" s="91">
        <f>SUM(G41:G46)</f>
        <v>629203683.39999998</v>
      </c>
    </row>
    <row r="41" spans="2:7">
      <c r="B41" s="5" t="s">
        <v>135</v>
      </c>
      <c r="C41" s="78" t="s">
        <v>136</v>
      </c>
      <c r="D41" s="79">
        <f>SUM(GREMEDA:IAC!D41)</f>
        <v>815701122</v>
      </c>
      <c r="E41" s="138" t="s">
        <v>137</v>
      </c>
      <c r="F41" s="78" t="s">
        <v>138</v>
      </c>
      <c r="G41" s="79">
        <f>SUM(GREMEDA:IAC!G41)</f>
        <v>61210548.589023344</v>
      </c>
    </row>
    <row r="42" spans="2:7">
      <c r="B42" s="5" t="s">
        <v>139</v>
      </c>
      <c r="C42" s="78" t="s">
        <v>140</v>
      </c>
      <c r="D42" s="79">
        <f>SUM(GREMEDA:IAC!D42)</f>
        <v>1038115540</v>
      </c>
      <c r="E42" s="138" t="s">
        <v>141</v>
      </c>
      <c r="F42" s="78" t="s">
        <v>142</v>
      </c>
      <c r="G42" s="79">
        <f>SUM(GREMEDA:IAC!G42)</f>
        <v>939131.19562750496</v>
      </c>
    </row>
    <row r="43" spans="2:7">
      <c r="B43" s="5" t="s">
        <v>143</v>
      </c>
      <c r="C43" s="78" t="s">
        <v>144</v>
      </c>
      <c r="D43" s="79">
        <f>SUM(GREMEDA:IAC!D43)</f>
        <v>3975609</v>
      </c>
      <c r="E43" s="138" t="s">
        <v>145</v>
      </c>
      <c r="F43" s="78" t="s">
        <v>146</v>
      </c>
      <c r="G43" s="79">
        <f>SUM(GREMEDA:IAC!G43)</f>
        <v>70292448.075923771</v>
      </c>
    </row>
    <row r="44" spans="2:7">
      <c r="B44" s="5" t="s">
        <v>147</v>
      </c>
      <c r="C44" s="78" t="s">
        <v>148</v>
      </c>
      <c r="D44" s="79">
        <f>SUM(GREMEDA:IAC!D44)</f>
        <v>889095</v>
      </c>
      <c r="E44" s="138" t="s">
        <v>149</v>
      </c>
      <c r="F44" s="78" t="s">
        <v>150</v>
      </c>
      <c r="G44" s="79">
        <f>SUM(GREMEDA:IAC!G44)</f>
        <v>30072924.635809314</v>
      </c>
    </row>
    <row r="45" spans="2:7">
      <c r="B45" s="5" t="s">
        <v>151</v>
      </c>
      <c r="C45" s="78" t="s">
        <v>152</v>
      </c>
      <c r="D45" s="79">
        <f>SUM(GREMEDA:IAC!D45)</f>
        <v>412945991</v>
      </c>
      <c r="E45" s="138" t="s">
        <v>153</v>
      </c>
      <c r="F45" s="78" t="s">
        <v>154</v>
      </c>
      <c r="G45" s="79">
        <f>SUM(GREMEDA:IAC!G45)</f>
        <v>27638811.913615454</v>
      </c>
    </row>
    <row r="46" spans="2:7">
      <c r="B46" s="5" t="s">
        <v>155</v>
      </c>
      <c r="C46" s="78" t="s">
        <v>156</v>
      </c>
      <c r="D46" s="79">
        <f>SUM(GREMEDA:IAC!D46)</f>
        <v>113046829.10819548</v>
      </c>
      <c r="E46" s="138" t="s">
        <v>157</v>
      </c>
      <c r="F46" s="78" t="s">
        <v>158</v>
      </c>
      <c r="G46" s="79">
        <f>SUM(GREMEDA:IAC!G46)</f>
        <v>439049818.99000061</v>
      </c>
    </row>
    <row r="47" spans="2:7" ht="16.5" thickBot="1">
      <c r="B47" s="5"/>
      <c r="C47" s="85" t="s">
        <v>159</v>
      </c>
      <c r="D47" s="86">
        <f>SUM(D36:D46)</f>
        <v>3373494858.8281956</v>
      </c>
      <c r="E47" s="138" t="s">
        <v>160</v>
      </c>
      <c r="F47" s="78" t="s">
        <v>161</v>
      </c>
      <c r="G47" s="79">
        <f>SUM(GREMEDA:IAC!G47)</f>
        <v>102229483.82051377</v>
      </c>
    </row>
    <row r="48" spans="2:7" ht="16.5" thickBot="1">
      <c r="B48" s="5"/>
      <c r="C48" s="92" t="s">
        <v>162</v>
      </c>
      <c r="D48" s="93"/>
      <c r="E48" s="138"/>
      <c r="F48" s="85" t="s">
        <v>163</v>
      </c>
      <c r="G48" s="94">
        <f>+G33+G40+G47</f>
        <v>3095905198.8505139</v>
      </c>
    </row>
    <row r="49" spans="2:7">
      <c r="B49" s="5" t="s">
        <v>164</v>
      </c>
      <c r="C49" s="95" t="s">
        <v>165</v>
      </c>
      <c r="D49" s="79">
        <f>SUM(GREMEDA:IAC!D49)</f>
        <v>38887</v>
      </c>
      <c r="E49" s="138" t="s">
        <v>166</v>
      </c>
      <c r="F49" s="80" t="s">
        <v>167</v>
      </c>
      <c r="G49" s="79">
        <f>SUM(GREMEDA:IAC!G49)</f>
        <v>400453166.51999998</v>
      </c>
    </row>
    <row r="50" spans="2:7">
      <c r="B50" s="5" t="s">
        <v>168</v>
      </c>
      <c r="C50" s="78" t="s">
        <v>162</v>
      </c>
      <c r="D50" s="79">
        <f>SUM(GREMEDA:IAC!D50)</f>
        <v>237938590</v>
      </c>
      <c r="E50" s="138" t="s">
        <v>169</v>
      </c>
      <c r="F50" s="78" t="s">
        <v>170</v>
      </c>
      <c r="G50" s="79">
        <f>SUM(GREMEDA:IAC!G50)</f>
        <v>1392059722.78</v>
      </c>
    </row>
    <row r="51" spans="2:7">
      <c r="B51" s="5" t="s">
        <v>171</v>
      </c>
      <c r="C51" s="78" t="s">
        <v>172</v>
      </c>
      <c r="D51" s="79">
        <f>SUM(GREMEDA:IAC!D51)</f>
        <v>2976377.26</v>
      </c>
      <c r="E51" s="138" t="s">
        <v>173</v>
      </c>
      <c r="F51" s="78" t="s">
        <v>174</v>
      </c>
      <c r="G51" s="79">
        <f>SUM(GREMEDA:IAC!G51)</f>
        <v>39255440.409999996</v>
      </c>
    </row>
    <row r="52" spans="2:7" ht="16.5" thickBot="1">
      <c r="B52" s="11"/>
      <c r="C52" s="85" t="s">
        <v>175</v>
      </c>
      <c r="D52" s="86">
        <f>SUM(D49:D51)</f>
        <v>240953854.25999999</v>
      </c>
      <c r="E52" s="138" t="s">
        <v>176</v>
      </c>
      <c r="F52" s="78" t="s">
        <v>177</v>
      </c>
      <c r="G52" s="79">
        <f>SUM(GREMEDA:IAC!G52)</f>
        <v>57799021.549999997</v>
      </c>
    </row>
    <row r="53" spans="2:7" ht="16.5" thickBot="1">
      <c r="B53" s="5"/>
      <c r="C53" s="75" t="s">
        <v>178</v>
      </c>
      <c r="D53" s="97">
        <f>D20+D35+D47+D52</f>
        <v>41128638020.412384</v>
      </c>
      <c r="E53" s="138" t="s">
        <v>179</v>
      </c>
      <c r="F53" s="78" t="s">
        <v>180</v>
      </c>
      <c r="G53" s="79">
        <f>SUM(GREMEDA:IAC!G53)</f>
        <v>205778110.04999989</v>
      </c>
    </row>
    <row r="54" spans="2:7">
      <c r="C54" s="98"/>
      <c r="D54" s="99"/>
      <c r="E54" s="138" t="s">
        <v>181</v>
      </c>
      <c r="F54" s="78" t="s">
        <v>182</v>
      </c>
      <c r="G54" s="79">
        <f>SUM(GREMEDA:IAC!G54)</f>
        <v>82546530.069999993</v>
      </c>
    </row>
    <row r="55" spans="2:7">
      <c r="C55" s="100" t="s">
        <v>183</v>
      </c>
      <c r="D55" s="101"/>
      <c r="E55" s="138" t="s">
        <v>184</v>
      </c>
      <c r="F55" s="78" t="s">
        <v>185</v>
      </c>
      <c r="G55" s="79">
        <f>SUM(GREMEDA:IAC!G55)</f>
        <v>88064747.140000001</v>
      </c>
    </row>
    <row r="56" spans="2:7">
      <c r="B56" s="5" t="s">
        <v>186</v>
      </c>
      <c r="C56" s="102" t="s">
        <v>187</v>
      </c>
      <c r="D56" s="79">
        <f>SUM(GREMEDA:IAC!D56)</f>
        <v>-52544044.310000002</v>
      </c>
      <c r="E56" s="138" t="s">
        <v>188</v>
      </c>
      <c r="F56" s="78" t="s">
        <v>189</v>
      </c>
      <c r="G56" s="79">
        <f>SUM(GREMEDA:IAC!G56)</f>
        <v>84367016</v>
      </c>
    </row>
    <row r="57" spans="2:7" ht="14.25" customHeight="1" thickBot="1">
      <c r="B57" s="5" t="s">
        <v>190</v>
      </c>
      <c r="C57" s="102" t="s">
        <v>191</v>
      </c>
      <c r="D57" s="79">
        <f>SUM(GREMEDA:IAC!D57)</f>
        <v>-2655648</v>
      </c>
      <c r="E57" s="138"/>
      <c r="F57" s="85" t="s">
        <v>192</v>
      </c>
      <c r="G57" s="86">
        <f>SUM(G49:G56)</f>
        <v>2350323754.52</v>
      </c>
    </row>
    <row r="58" spans="2:7">
      <c r="B58" s="5" t="s">
        <v>193</v>
      </c>
      <c r="C58" s="102" t="s">
        <v>194</v>
      </c>
      <c r="D58" s="79">
        <f>SUM(GREMEDA:IAC!D58)</f>
        <v>-11344661</v>
      </c>
      <c r="E58" s="138" t="s">
        <v>195</v>
      </c>
      <c r="F58" s="80" t="s">
        <v>196</v>
      </c>
      <c r="G58" s="79">
        <f>SUM(GREMEDA:IAC!G58)</f>
        <v>380141476.25999999</v>
      </c>
    </row>
    <row r="59" spans="2:7">
      <c r="B59" s="5" t="s">
        <v>197</v>
      </c>
      <c r="C59" s="78" t="s">
        <v>198</v>
      </c>
      <c r="D59" s="79">
        <f>SUM(GREMEDA:IAC!D59)</f>
        <v>-2327376.2874983493</v>
      </c>
      <c r="E59" s="138" t="s">
        <v>199</v>
      </c>
      <c r="F59" s="78" t="s">
        <v>200</v>
      </c>
      <c r="G59" s="79">
        <f>SUM(GREMEDA:IAC!G59)</f>
        <v>634225316.07999992</v>
      </c>
    </row>
    <row r="60" spans="2:7" ht="16.5" thickBot="1">
      <c r="B60" s="5"/>
      <c r="C60" s="85" t="s">
        <v>201</v>
      </c>
      <c r="D60" s="86">
        <f>SUM(D56:D59)</f>
        <v>-68871729.597498357</v>
      </c>
      <c r="E60" s="138" t="s">
        <v>202</v>
      </c>
      <c r="F60" s="78" t="s">
        <v>203</v>
      </c>
      <c r="G60" s="79">
        <f>SUM(GREMEDA:IAC!G60)</f>
        <v>165188492.12</v>
      </c>
    </row>
    <row r="61" spans="2:7" ht="16.5" thickBot="1">
      <c r="B61" s="15"/>
      <c r="C61" s="72" t="s">
        <v>204</v>
      </c>
      <c r="D61" s="103">
        <f>D53+D60</f>
        <v>41059766290.814888</v>
      </c>
      <c r="E61" s="138" t="s">
        <v>205</v>
      </c>
      <c r="F61" s="78" t="s">
        <v>206</v>
      </c>
      <c r="G61" s="79">
        <f>SUM(GREMEDA:IAC!G61)</f>
        <v>132724952.31</v>
      </c>
    </row>
    <row r="62" spans="2:7">
      <c r="B62" s="16"/>
      <c r="C62" s="116"/>
      <c r="D62" s="116"/>
      <c r="E62" s="138" t="s">
        <v>207</v>
      </c>
      <c r="F62" s="78" t="s">
        <v>208</v>
      </c>
      <c r="G62" s="79">
        <f>SUM(GREMEDA:IAC!G62)</f>
        <v>15703865</v>
      </c>
    </row>
    <row r="63" spans="2:7">
      <c r="B63" s="17"/>
      <c r="C63" s="222" t="s">
        <v>8</v>
      </c>
      <c r="D63" s="222"/>
      <c r="E63" s="138" t="s">
        <v>209</v>
      </c>
      <c r="F63" s="78" t="s">
        <v>210</v>
      </c>
      <c r="G63" s="79">
        <f>SUM(GREMEDA:IAC!G63)</f>
        <v>708472944.75999999</v>
      </c>
    </row>
    <row r="64" spans="2:7">
      <c r="B64" s="18" t="s">
        <v>211</v>
      </c>
      <c r="C64" s="223" t="s">
        <v>212</v>
      </c>
      <c r="D64" s="223">
        <f>[37]Amortizaciones!D6</f>
        <v>5258062</v>
      </c>
      <c r="E64" s="138" t="s">
        <v>213</v>
      </c>
      <c r="F64" s="78" t="s">
        <v>214</v>
      </c>
      <c r="G64" s="79">
        <f>SUM(GREMEDA:IAC!G64)</f>
        <v>70672559.659999996</v>
      </c>
    </row>
    <row r="65" spans="2:7">
      <c r="B65" s="18" t="s">
        <v>215</v>
      </c>
      <c r="C65" s="223" t="s">
        <v>216</v>
      </c>
      <c r="D65" s="223">
        <f>[37]Amortizaciones!D7</f>
        <v>0</v>
      </c>
      <c r="E65" s="138" t="s">
        <v>217</v>
      </c>
      <c r="F65" s="78" t="s">
        <v>218</v>
      </c>
      <c r="G65" s="79">
        <f>SUM(GREMEDA:IAC!G65)</f>
        <v>173124560.37</v>
      </c>
    </row>
    <row r="66" spans="2:7">
      <c r="B66" s="18" t="s">
        <v>219</v>
      </c>
      <c r="C66" s="223" t="s">
        <v>220</v>
      </c>
      <c r="D66" s="223">
        <f>[37]Amortizaciones!D8</f>
        <v>3184099</v>
      </c>
      <c r="E66" s="138" t="s">
        <v>221</v>
      </c>
      <c r="F66" s="78" t="s">
        <v>222</v>
      </c>
      <c r="G66" s="79">
        <f>SUM(GREMEDA:IAC!G66)</f>
        <v>142426764.10000002</v>
      </c>
    </row>
    <row r="67" spans="2:7">
      <c r="B67" s="18" t="s">
        <v>223</v>
      </c>
      <c r="C67" s="223" t="s">
        <v>224</v>
      </c>
      <c r="D67" s="223">
        <f>[37]Amortizaciones!D9</f>
        <v>1491</v>
      </c>
      <c r="E67" s="138" t="s">
        <v>225</v>
      </c>
      <c r="F67" s="78" t="s">
        <v>226</v>
      </c>
      <c r="G67" s="79">
        <f>SUM(GREMEDA:IAC!G67)</f>
        <v>66693266.560000002</v>
      </c>
    </row>
    <row r="68" spans="2:7">
      <c r="B68" s="18" t="s">
        <v>227</v>
      </c>
      <c r="C68" s="223" t="s">
        <v>228</v>
      </c>
      <c r="D68" s="223">
        <f>[37]Amortizaciones!D10</f>
        <v>397989</v>
      </c>
      <c r="E68" s="138" t="s">
        <v>229</v>
      </c>
      <c r="F68" s="78" t="s">
        <v>230</v>
      </c>
      <c r="G68" s="79">
        <f>SUM(GREMEDA:IAC!G68)</f>
        <v>1006995.05</v>
      </c>
    </row>
    <row r="69" spans="2:7">
      <c r="B69" s="18" t="s">
        <v>231</v>
      </c>
      <c r="C69" s="223" t="s">
        <v>232</v>
      </c>
      <c r="D69" s="223">
        <f>[37]Amortizaciones!D11</f>
        <v>414709</v>
      </c>
      <c r="E69" s="138" t="s">
        <v>233</v>
      </c>
      <c r="F69" s="78" t="s">
        <v>234</v>
      </c>
      <c r="G69" s="79">
        <f>SUM(GREMEDA:IAC!G69)</f>
        <v>42766071.599999994</v>
      </c>
    </row>
    <row r="70" spans="2:7">
      <c r="B70" s="18" t="s">
        <v>235</v>
      </c>
      <c r="C70" s="223" t="s">
        <v>236</v>
      </c>
      <c r="D70" s="223">
        <f>[37]Amortizaciones!D12</f>
        <v>184278</v>
      </c>
      <c r="E70" s="138" t="s">
        <v>237</v>
      </c>
      <c r="F70" s="78" t="s">
        <v>238</v>
      </c>
      <c r="G70" s="79">
        <f>SUM(GREMEDA:IAC!G70)</f>
        <v>15920686.029999999</v>
      </c>
    </row>
    <row r="71" spans="2:7">
      <c r="B71" s="18" t="s">
        <v>239</v>
      </c>
      <c r="C71" s="223" t="s">
        <v>240</v>
      </c>
      <c r="D71" s="223">
        <f>[37]Amortizaciones!D13</f>
        <v>826164</v>
      </c>
      <c r="E71" s="138" t="s">
        <v>241</v>
      </c>
      <c r="F71" s="78" t="s">
        <v>242</v>
      </c>
      <c r="G71" s="79">
        <f>SUM(GREMEDA:IAC!G71)</f>
        <v>18831111.77</v>
      </c>
    </row>
    <row r="72" spans="2:7">
      <c r="B72" s="18" t="s">
        <v>243</v>
      </c>
      <c r="C72" s="223" t="s">
        <v>244</v>
      </c>
      <c r="D72" s="223">
        <f>[37]Amortizaciones!D14</f>
        <v>959221</v>
      </c>
      <c r="E72" s="138" t="s">
        <v>245</v>
      </c>
      <c r="F72" s="78" t="s">
        <v>246</v>
      </c>
      <c r="G72" s="79">
        <f>SUM(GREMEDA:IAC!G72)</f>
        <v>124887400.99000001</v>
      </c>
    </row>
    <row r="73" spans="2:7">
      <c r="B73" s="18" t="s">
        <v>247</v>
      </c>
      <c r="C73" s="223" t="s">
        <v>248</v>
      </c>
      <c r="D73" s="223">
        <f>[37]Amortizaciones!D15</f>
        <v>0</v>
      </c>
      <c r="E73" s="138" t="s">
        <v>249</v>
      </c>
      <c r="F73" s="78" t="s">
        <v>250</v>
      </c>
      <c r="G73" s="79">
        <f>SUM(GREMEDA:IAC!G73)</f>
        <v>16376633.779999999</v>
      </c>
    </row>
    <row r="74" spans="2:7">
      <c r="B74" s="18" t="s">
        <v>251</v>
      </c>
      <c r="C74" s="223" t="s">
        <v>252</v>
      </c>
      <c r="D74" s="223">
        <f>[37]Amortizaciones!D16</f>
        <v>397250</v>
      </c>
      <c r="E74" s="138" t="s">
        <v>253</v>
      </c>
      <c r="F74" s="78" t="s">
        <v>254</v>
      </c>
      <c r="G74" s="79">
        <f>SUM(GREMEDA:IAC!G74)</f>
        <v>16572801.189999999</v>
      </c>
    </row>
    <row r="75" spans="2:7">
      <c r="B75" s="18" t="s">
        <v>255</v>
      </c>
      <c r="C75" s="223" t="s">
        <v>256</v>
      </c>
      <c r="D75" s="223">
        <f>[37]Amortizaciones!D17</f>
        <v>0</v>
      </c>
      <c r="E75" s="138" t="s">
        <v>257</v>
      </c>
      <c r="F75" s="78" t="s">
        <v>258</v>
      </c>
      <c r="G75" s="79">
        <f>SUM(GREMEDA:IAC!G75)</f>
        <v>126450942.91000001</v>
      </c>
    </row>
    <row r="76" spans="2:7">
      <c r="B76" s="18" t="s">
        <v>259</v>
      </c>
      <c r="C76" s="223" t="s">
        <v>260</v>
      </c>
      <c r="D76" s="223">
        <f>[37]Amortizaciones!D18</f>
        <v>0</v>
      </c>
      <c r="E76" s="138" t="s">
        <v>261</v>
      </c>
      <c r="F76" s="78" t="s">
        <v>262</v>
      </c>
      <c r="G76" s="79">
        <f>SUM(GREMEDA:IAC!G76)</f>
        <v>328320661.17000002</v>
      </c>
    </row>
    <row r="77" spans="2:7">
      <c r="B77" s="18" t="s">
        <v>263</v>
      </c>
      <c r="C77" s="223" t="s">
        <v>264</v>
      </c>
      <c r="D77" s="223">
        <f>SUM(D64:D76)</f>
        <v>11623263</v>
      </c>
      <c r="E77" s="138" t="s">
        <v>265</v>
      </c>
      <c r="F77" s="78" t="s">
        <v>266</v>
      </c>
      <c r="G77" s="79">
        <f>SUM(GREMEDA:IAC!G77)</f>
        <v>915588004.98000002</v>
      </c>
    </row>
    <row r="78" spans="2:7">
      <c r="B78" s="18"/>
      <c r="C78" s="223"/>
      <c r="D78" s="223"/>
      <c r="E78" s="138" t="s">
        <v>267</v>
      </c>
      <c r="F78" s="78" t="s">
        <v>268</v>
      </c>
      <c r="G78" s="79">
        <f>SUM(GREMEDA:IAC!G78)</f>
        <v>141122654.93021101</v>
      </c>
    </row>
    <row r="79" spans="2:7" ht="16.5" thickBot="1">
      <c r="B79" s="18"/>
      <c r="C79" s="222" t="s">
        <v>269</v>
      </c>
      <c r="D79" s="224"/>
      <c r="E79" s="138"/>
      <c r="F79" s="85" t="s">
        <v>270</v>
      </c>
      <c r="G79" s="86">
        <f>SUM(G58:G78)</f>
        <v>4237218161.6202111</v>
      </c>
    </row>
    <row r="80" spans="2:7">
      <c r="B80" s="18" t="s">
        <v>271</v>
      </c>
      <c r="C80" s="223" t="s">
        <v>236</v>
      </c>
      <c r="D80" s="223">
        <f>[37]Amortizaciones!D22</f>
        <v>0</v>
      </c>
      <c r="E80" s="138" t="s">
        <v>272</v>
      </c>
      <c r="F80" s="80" t="s">
        <v>273</v>
      </c>
      <c r="G80" s="79">
        <f>SUM(GREMEDA:IAC!G80)</f>
        <v>54417651.942500018</v>
      </c>
    </row>
    <row r="81" spans="2:7">
      <c r="B81" s="18" t="s">
        <v>274</v>
      </c>
      <c r="C81" s="223" t="s">
        <v>240</v>
      </c>
      <c r="D81" s="223">
        <f>[37]Amortizaciones!D23</f>
        <v>0</v>
      </c>
      <c r="E81" s="138" t="s">
        <v>275</v>
      </c>
      <c r="F81" s="78" t="s">
        <v>276</v>
      </c>
      <c r="G81" s="79">
        <f>SUM(GREMEDA:IAC!G81)</f>
        <v>183621261.72500005</v>
      </c>
    </row>
    <row r="82" spans="2:7">
      <c r="B82" s="18" t="s">
        <v>277</v>
      </c>
      <c r="C82" s="223" t="s">
        <v>244</v>
      </c>
      <c r="D82" s="223">
        <f>[37]Amortizaciones!D24</f>
        <v>0</v>
      </c>
      <c r="E82" s="138" t="s">
        <v>278</v>
      </c>
      <c r="F82" s="78" t="s">
        <v>279</v>
      </c>
      <c r="G82" s="79">
        <f>SUM(GREMEDA:IAC!G82)</f>
        <v>80301317.237499997</v>
      </c>
    </row>
    <row r="83" spans="2:7">
      <c r="B83" s="18" t="s">
        <v>280</v>
      </c>
      <c r="C83" s="223" t="s">
        <v>248</v>
      </c>
      <c r="D83" s="223">
        <f>[37]Amortizaciones!D25</f>
        <v>0</v>
      </c>
      <c r="E83" s="138" t="s">
        <v>281</v>
      </c>
      <c r="F83" s="78" t="s">
        <v>282</v>
      </c>
      <c r="G83" s="79">
        <f>SUM(GREMEDA:IAC!G83)</f>
        <v>85413242.882500008</v>
      </c>
    </row>
    <row r="84" spans="2:7">
      <c r="B84" s="18" t="s">
        <v>283</v>
      </c>
      <c r="C84" s="223" t="s">
        <v>284</v>
      </c>
      <c r="D84" s="223">
        <v>0</v>
      </c>
      <c r="E84" s="138" t="s">
        <v>285</v>
      </c>
      <c r="F84" s="78" t="s">
        <v>286</v>
      </c>
      <c r="G84" s="79">
        <f>SUM(GREMEDA:IAC!G84)</f>
        <v>208055774.48499998</v>
      </c>
    </row>
    <row r="85" spans="2:7">
      <c r="B85" s="18" t="s">
        <v>287</v>
      </c>
      <c r="C85" s="223" t="s">
        <v>288</v>
      </c>
      <c r="D85" s="223">
        <f>[37]Amortizaciones!D27</f>
        <v>0</v>
      </c>
      <c r="E85" s="138" t="s">
        <v>289</v>
      </c>
      <c r="F85" s="78" t="s">
        <v>290</v>
      </c>
      <c r="G85" s="79">
        <f>SUM(GREMEDA:IAC!G85)</f>
        <v>91962119.844999999</v>
      </c>
    </row>
    <row r="86" spans="2:7" ht="13.5" customHeight="1">
      <c r="B86" s="18" t="s">
        <v>291</v>
      </c>
      <c r="C86" s="223" t="s">
        <v>292</v>
      </c>
      <c r="D86" s="223">
        <f>[37]Amortizaciones!D28</f>
        <v>0</v>
      </c>
      <c r="E86" s="138" t="s">
        <v>293</v>
      </c>
      <c r="F86" s="78" t="s">
        <v>294</v>
      </c>
      <c r="G86" s="79">
        <f>SUM(GREMEDA:IAC!G86)</f>
        <v>34743707.325000003</v>
      </c>
    </row>
    <row r="87" spans="2:7" ht="13.5" customHeight="1">
      <c r="B87" s="18" t="s">
        <v>295</v>
      </c>
      <c r="C87" s="223" t="s">
        <v>296</v>
      </c>
      <c r="D87" s="223">
        <f>[37]Amortizaciones!D29</f>
        <v>0</v>
      </c>
      <c r="E87" s="138" t="s">
        <v>297</v>
      </c>
      <c r="F87" s="78" t="s">
        <v>298</v>
      </c>
      <c r="G87" s="79">
        <f>SUM(GREMEDA:IAC!G87)</f>
        <v>40368693.200000003</v>
      </c>
    </row>
    <row r="88" spans="2:7" ht="13.5" customHeight="1">
      <c r="B88" s="18" t="s">
        <v>299</v>
      </c>
      <c r="C88" s="223" t="s">
        <v>300</v>
      </c>
      <c r="D88" s="223">
        <f>[37]Amortizaciones!D30</f>
        <v>0</v>
      </c>
      <c r="E88" s="138" t="s">
        <v>301</v>
      </c>
      <c r="F88" s="78" t="s">
        <v>302</v>
      </c>
      <c r="G88" s="79">
        <f>SUM(GREMEDA:IAC!G88)</f>
        <v>89190639.86500001</v>
      </c>
    </row>
    <row r="89" spans="2:7">
      <c r="B89" s="18" t="s">
        <v>303</v>
      </c>
      <c r="C89" s="223" t="s">
        <v>212</v>
      </c>
      <c r="D89" s="223">
        <f>[37]Amortizaciones!D31</f>
        <v>0</v>
      </c>
      <c r="E89" s="138" t="s">
        <v>304</v>
      </c>
      <c r="F89" s="78" t="s">
        <v>305</v>
      </c>
      <c r="G89" s="79">
        <f>SUM(GREMEDA:IAC!G89)</f>
        <v>421289779.66000026</v>
      </c>
    </row>
    <row r="90" spans="2:7" ht="14.25" customHeight="1">
      <c r="B90" s="18" t="s">
        <v>306</v>
      </c>
      <c r="C90" s="223" t="s">
        <v>228</v>
      </c>
      <c r="D90" s="223">
        <f>[37]Amortizaciones!D32</f>
        <v>0</v>
      </c>
      <c r="E90" s="138" t="s">
        <v>307</v>
      </c>
      <c r="F90" s="78" t="s">
        <v>308</v>
      </c>
      <c r="G90" s="79">
        <f>SUM(GREMEDA:IAC!G90)</f>
        <v>55929777.599999994</v>
      </c>
    </row>
    <row r="91" spans="2:7" ht="14.25" customHeight="1">
      <c r="B91" s="18" t="s">
        <v>309</v>
      </c>
      <c r="C91" s="223" t="s">
        <v>310</v>
      </c>
      <c r="D91" s="223">
        <f>SUM(D80:D90)</f>
        <v>0</v>
      </c>
      <c r="E91" s="225" t="s">
        <v>311</v>
      </c>
      <c r="F91" s="78" t="s">
        <v>312</v>
      </c>
      <c r="G91" s="79">
        <f>SUM(GREMEDA:IAC!G91)</f>
        <v>27019148.520000003</v>
      </c>
    </row>
    <row r="92" spans="2:7" ht="14.25" customHeight="1">
      <c r="B92" s="18"/>
      <c r="C92" s="226" t="s">
        <v>313</v>
      </c>
      <c r="D92" s="223">
        <f>D77+D91</f>
        <v>11623263</v>
      </c>
      <c r="E92" s="225" t="s">
        <v>314</v>
      </c>
      <c r="F92" s="78" t="s">
        <v>315</v>
      </c>
      <c r="G92" s="79">
        <f>SUM(GREMEDA:IAC!G92)</f>
        <v>1663331</v>
      </c>
    </row>
    <row r="93" spans="2:7">
      <c r="C93" s="116"/>
      <c r="D93" s="116"/>
      <c r="E93" s="225" t="s">
        <v>316</v>
      </c>
      <c r="F93" s="78" t="s">
        <v>317</v>
      </c>
      <c r="G93" s="79">
        <f>SUM(GREMEDA:IAC!G93)</f>
        <v>171200752.58750001</v>
      </c>
    </row>
    <row r="94" spans="2:7">
      <c r="C94" s="116"/>
      <c r="D94" s="116"/>
      <c r="E94" s="225" t="s">
        <v>318</v>
      </c>
      <c r="F94" s="78" t="s">
        <v>319</v>
      </c>
      <c r="G94" s="79">
        <f>SUM(GREMEDA:IAC!G94)</f>
        <v>52084831.161366962</v>
      </c>
    </row>
    <row r="95" spans="2:7" ht="13.5" customHeight="1" thickBot="1">
      <c r="C95" s="116"/>
      <c r="D95" s="116"/>
      <c r="E95" s="138"/>
      <c r="F95" s="85" t="s">
        <v>320</v>
      </c>
      <c r="G95" s="86">
        <f>SUM(G80:G94)</f>
        <v>1597262029.0363674</v>
      </c>
    </row>
    <row r="96" spans="2:7">
      <c r="C96" s="116"/>
      <c r="D96" s="116"/>
      <c r="E96" s="225" t="s">
        <v>321</v>
      </c>
      <c r="F96" s="80" t="s">
        <v>322</v>
      </c>
      <c r="G96" s="79">
        <f>SUM(GREMEDA:IAC!G96)</f>
        <v>177075188.05999997</v>
      </c>
    </row>
    <row r="97" spans="2:7">
      <c r="C97" s="116"/>
      <c r="D97" s="116"/>
      <c r="E97" s="225" t="s">
        <v>323</v>
      </c>
      <c r="F97" s="78" t="s">
        <v>324</v>
      </c>
      <c r="G97" s="79">
        <f>SUM(GREMEDA:IAC!G97)</f>
        <v>110363479.66</v>
      </c>
    </row>
    <row r="98" spans="2:7">
      <c r="C98" s="116"/>
      <c r="D98" s="116"/>
      <c r="E98" s="225" t="s">
        <v>325</v>
      </c>
      <c r="F98" s="78" t="s">
        <v>326</v>
      </c>
      <c r="G98" s="79">
        <f>SUM(GREMEDA:IAC!G98)</f>
        <v>33816405.479999997</v>
      </c>
    </row>
    <row r="99" spans="2:7">
      <c r="C99" s="116"/>
      <c r="D99" s="116"/>
      <c r="E99" s="225" t="s">
        <v>327</v>
      </c>
      <c r="F99" s="78" t="s">
        <v>328</v>
      </c>
      <c r="G99" s="79">
        <f>SUM(GREMEDA:IAC!G99)</f>
        <v>100474752.02000001</v>
      </c>
    </row>
    <row r="100" spans="2:7">
      <c r="C100" s="116"/>
      <c r="D100" s="116"/>
      <c r="E100" s="225" t="s">
        <v>329</v>
      </c>
      <c r="F100" s="78" t="s">
        <v>330</v>
      </c>
      <c r="G100" s="79">
        <f>SUM(GREMEDA:IAC!G100)</f>
        <v>14074129.449999999</v>
      </c>
    </row>
    <row r="101" spans="2:7" ht="12.75" customHeight="1" thickBot="1">
      <c r="C101" s="116"/>
      <c r="D101" s="116"/>
      <c r="E101" s="138"/>
      <c r="F101" s="85" t="s">
        <v>331</v>
      </c>
      <c r="G101" s="86">
        <f>SUM(G96:G100)</f>
        <v>435803954.67000002</v>
      </c>
    </row>
    <row r="102" spans="2:7" ht="12.75" customHeight="1" thickBot="1">
      <c r="C102" s="116"/>
      <c r="D102" s="116"/>
      <c r="E102" s="225"/>
      <c r="F102" s="110" t="s">
        <v>332</v>
      </c>
      <c r="G102" s="248">
        <f>SUM(GREMEDA:IAC!G102)</f>
        <v>779760325.63999999</v>
      </c>
    </row>
    <row r="103" spans="2:7">
      <c r="C103" s="116"/>
      <c r="D103" s="116"/>
      <c r="E103" s="225" t="s">
        <v>333</v>
      </c>
      <c r="F103" s="78" t="s">
        <v>334</v>
      </c>
      <c r="G103" s="82">
        <f>SUM(GREMEDA:IAC!G103)</f>
        <v>4190528</v>
      </c>
    </row>
    <row r="104" spans="2:7">
      <c r="C104" s="116"/>
      <c r="D104" s="116"/>
      <c r="E104" s="225" t="s">
        <v>335</v>
      </c>
      <c r="F104" s="112" t="s">
        <v>336</v>
      </c>
      <c r="G104" s="79">
        <f>SUM(GREMEDA:IAC!G104)</f>
        <v>156044</v>
      </c>
    </row>
    <row r="105" spans="2:7" ht="14.25" customHeight="1" thickBot="1">
      <c r="C105" s="116"/>
      <c r="D105" s="116"/>
      <c r="E105" s="138"/>
      <c r="F105" s="85" t="s">
        <v>337</v>
      </c>
      <c r="G105" s="86">
        <f>SUM(G103:G104)</f>
        <v>4346572</v>
      </c>
    </row>
    <row r="106" spans="2:7" ht="14.25" customHeight="1" thickBot="1">
      <c r="B106" s="5"/>
      <c r="C106" s="227"/>
      <c r="D106" s="227"/>
      <c r="E106" s="225"/>
      <c r="F106" s="72" t="s">
        <v>338</v>
      </c>
      <c r="G106" s="103">
        <f>G19+G27+G32+G48+G57+G79+G95+G101+G102+G105</f>
        <v>37663659914.683388</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3396106376.1315002</v>
      </c>
    </row>
    <row r="110" spans="2:7" ht="6.75" customHeight="1" thickBot="1">
      <c r="B110" s="5"/>
      <c r="C110" s="227"/>
      <c r="D110" s="227"/>
      <c r="E110" s="138"/>
      <c r="F110" s="116"/>
      <c r="G110" s="116"/>
    </row>
    <row r="111" spans="2:7" ht="15" customHeight="1" thickBot="1">
      <c r="C111" s="72" t="s">
        <v>269</v>
      </c>
      <c r="D111" s="118">
        <f>+[37]E.S.P.!D6</f>
        <v>2021</v>
      </c>
      <c r="E111" s="225"/>
      <c r="F111" s="72" t="s">
        <v>340</v>
      </c>
      <c r="G111" s="118">
        <f>+[37]E.S.P.!D6</f>
        <v>2021</v>
      </c>
    </row>
    <row r="112" spans="2:7" ht="13.7" customHeight="1">
      <c r="B112" s="5" t="s">
        <v>341</v>
      </c>
      <c r="C112" s="119" t="s">
        <v>342</v>
      </c>
      <c r="D112" s="79">
        <f>SUM(GREMEDA:IAC!D112)</f>
        <v>197167395.5218986</v>
      </c>
      <c r="E112" s="138" t="s">
        <v>343</v>
      </c>
      <c r="F112" s="119" t="s">
        <v>308</v>
      </c>
      <c r="G112" s="79">
        <f>SUM(GREMEDA:IAC!G112)</f>
        <v>2372149</v>
      </c>
    </row>
    <row r="113" spans="2:7" ht="13.7" customHeight="1">
      <c r="B113" s="5" t="s">
        <v>344</v>
      </c>
      <c r="C113" s="121" t="s">
        <v>345</v>
      </c>
      <c r="D113" s="79">
        <f>SUM(GREMEDA:IAC!D113)</f>
        <v>1378320340.6364412</v>
      </c>
      <c r="E113" s="138" t="s">
        <v>346</v>
      </c>
      <c r="F113" s="121" t="s">
        <v>347</v>
      </c>
      <c r="G113" s="79">
        <f>SUM(GREMEDA:IAC!G113)</f>
        <v>0</v>
      </c>
    </row>
    <row r="114" spans="2:7" ht="13.7" customHeight="1">
      <c r="B114" s="5" t="s">
        <v>348</v>
      </c>
      <c r="C114" s="121" t="s">
        <v>48</v>
      </c>
      <c r="D114" s="79">
        <f>SUM(GREMEDA:IAC!D114)</f>
        <v>88451021.721660063</v>
      </c>
      <c r="E114" s="138" t="s">
        <v>349</v>
      </c>
      <c r="F114" s="121" t="s">
        <v>350</v>
      </c>
      <c r="G114" s="79">
        <f>SUM(GREMEDA:IAC!G114)</f>
        <v>15937413.09</v>
      </c>
    </row>
    <row r="115" spans="2:7" ht="13.7" customHeight="1">
      <c r="B115" s="5" t="s">
        <v>351</v>
      </c>
      <c r="C115" s="121" t="s">
        <v>352</v>
      </c>
      <c r="D115" s="79">
        <f>SUM(GREMEDA:IAC!D115)</f>
        <v>7512934.3499999996</v>
      </c>
      <c r="E115" s="138" t="s">
        <v>353</v>
      </c>
      <c r="F115" s="121" t="s">
        <v>354</v>
      </c>
      <c r="G115" s="79">
        <f>SUM(GREMEDA:IAC!G115)</f>
        <v>5130874.12</v>
      </c>
    </row>
    <row r="116" spans="2:7" ht="13.7" customHeight="1">
      <c r="B116" s="5" t="s">
        <v>355</v>
      </c>
      <c r="C116" s="121" t="s">
        <v>356</v>
      </c>
      <c r="D116" s="79">
        <f>SUM(GREMEDA:IAC!D116)</f>
        <v>61078974.350000001</v>
      </c>
      <c r="E116" s="138" t="s">
        <v>357</v>
      </c>
      <c r="F116" s="121" t="s">
        <v>358</v>
      </c>
      <c r="G116" s="79">
        <f>SUM(GREMEDA:IAC!G116)</f>
        <v>36115377.330000006</v>
      </c>
    </row>
    <row r="117" spans="2:7" ht="13.7" customHeight="1">
      <c r="B117" s="5" t="s">
        <v>359</v>
      </c>
      <c r="C117" s="121" t="s">
        <v>360</v>
      </c>
      <c r="D117" s="79">
        <f>SUM(GREMEDA:IAC!D117)</f>
        <v>7739672.5099999998</v>
      </c>
      <c r="E117" s="138" t="s">
        <v>361</v>
      </c>
      <c r="F117" s="121" t="s">
        <v>362</v>
      </c>
      <c r="G117" s="79">
        <f>SUM(GREMEDA:IAC!G117)</f>
        <v>8443195.870000001</v>
      </c>
    </row>
    <row r="118" spans="2:7" ht="13.7" customHeight="1">
      <c r="B118" s="5" t="s">
        <v>363</v>
      </c>
      <c r="C118" s="121" t="s">
        <v>364</v>
      </c>
      <c r="D118" s="79">
        <f>SUM(GREMEDA:IAC!D118)</f>
        <v>106756</v>
      </c>
      <c r="E118" s="138" t="s">
        <v>365</v>
      </c>
      <c r="F118" s="121" t="s">
        <v>366</v>
      </c>
      <c r="G118" s="79">
        <f>SUM(GREMEDA:IAC!G118)</f>
        <v>2464466</v>
      </c>
    </row>
    <row r="119" spans="2:7" ht="13.7" customHeight="1">
      <c r="B119" s="5" t="s">
        <v>367</v>
      </c>
      <c r="C119" s="121" t="s">
        <v>368</v>
      </c>
      <c r="D119" s="79">
        <f>SUM(GREMEDA:IAC!D119)</f>
        <v>14422493.76</v>
      </c>
      <c r="E119" s="138" t="s">
        <v>369</v>
      </c>
      <c r="F119" s="121" t="s">
        <v>370</v>
      </c>
      <c r="G119" s="79">
        <f>SUM(GREMEDA:IAC!G119)</f>
        <v>5720959</v>
      </c>
    </row>
    <row r="120" spans="2:7" ht="13.7" customHeight="1">
      <c r="B120" s="5" t="s">
        <v>371</v>
      </c>
      <c r="C120" s="121" t="s">
        <v>372</v>
      </c>
      <c r="D120" s="79">
        <f>SUM(GREMEDA:IAC!D120)</f>
        <v>2405067</v>
      </c>
      <c r="E120" s="138" t="s">
        <v>373</v>
      </c>
      <c r="F120" s="121" t="s">
        <v>374</v>
      </c>
      <c r="G120" s="79">
        <f>SUM(GREMEDA:IAC!G120)</f>
        <v>0</v>
      </c>
    </row>
    <row r="121" spans="2:7" ht="13.7" customHeight="1">
      <c r="B121" s="5" t="s">
        <v>375</v>
      </c>
      <c r="C121" s="78" t="s">
        <v>376</v>
      </c>
      <c r="D121" s="79">
        <f>SUM(GREMEDA:IAC!D121)</f>
        <v>65035009.369959384</v>
      </c>
      <c r="E121" s="138" t="s">
        <v>377</v>
      </c>
      <c r="F121" s="121" t="s">
        <v>378</v>
      </c>
      <c r="G121" s="79">
        <f>SUM(GREMEDA:IAC!G121)</f>
        <v>79466854.210000008</v>
      </c>
    </row>
    <row r="122" spans="2:7" ht="13.7" customHeight="1" thickBot="1">
      <c r="B122" s="5"/>
      <c r="C122" s="85" t="s">
        <v>379</v>
      </c>
      <c r="D122" s="94">
        <f>SUM(D112:D121)</f>
        <v>1822239665.219959</v>
      </c>
      <c r="E122" s="138" t="s">
        <v>380</v>
      </c>
      <c r="F122" s="78" t="s">
        <v>381</v>
      </c>
      <c r="G122" s="79">
        <f>SUM(GREMEDA:IAC!G122)</f>
        <v>15127125.5</v>
      </c>
    </row>
    <row r="123" spans="2:7" ht="13.7" customHeight="1" thickBot="1">
      <c r="B123" s="5" t="s">
        <v>382</v>
      </c>
      <c r="C123" s="123" t="s">
        <v>308</v>
      </c>
      <c r="D123" s="79">
        <f>SUM(GREMEDA:IAC!D123)</f>
        <v>43924500.799999997</v>
      </c>
      <c r="E123" s="225"/>
      <c r="F123" s="85" t="s">
        <v>383</v>
      </c>
      <c r="G123" s="94">
        <f>SUM(G112:G122)</f>
        <v>170778414.12</v>
      </c>
    </row>
    <row r="124" spans="2:7" ht="13.7" customHeight="1">
      <c r="B124" s="5" t="s">
        <v>384</v>
      </c>
      <c r="C124" s="121" t="s">
        <v>312</v>
      </c>
      <c r="D124" s="79">
        <f>SUM(GREMEDA:IAC!D124)</f>
        <v>12729854.25</v>
      </c>
      <c r="E124" s="138" t="s">
        <v>385</v>
      </c>
      <c r="F124" s="121" t="s">
        <v>386</v>
      </c>
      <c r="G124" s="79">
        <f>SUM(GREMEDA:IAC!G124)</f>
        <v>50684272.590000004</v>
      </c>
    </row>
    <row r="125" spans="2:7" ht="13.7" customHeight="1">
      <c r="B125" s="5" t="s">
        <v>387</v>
      </c>
      <c r="C125" s="78" t="s">
        <v>388</v>
      </c>
      <c r="D125" s="79">
        <f>SUM(GREMEDA:IAC!D125)</f>
        <v>1989563.223432133</v>
      </c>
      <c r="E125" s="138" t="s">
        <v>389</v>
      </c>
      <c r="F125" s="121" t="s">
        <v>390</v>
      </c>
      <c r="G125" s="79">
        <f>SUM(GREMEDA:IAC!G125)</f>
        <v>6498781.7000000002</v>
      </c>
    </row>
    <row r="126" spans="2:7" ht="13.7" customHeight="1" thickBot="1">
      <c r="B126" s="5"/>
      <c r="C126" s="85" t="s">
        <v>391</v>
      </c>
      <c r="D126" s="94">
        <f>SUM(D123:D125)</f>
        <v>58643918.273432128</v>
      </c>
      <c r="E126" s="138" t="s">
        <v>392</v>
      </c>
      <c r="F126" s="121" t="s">
        <v>393</v>
      </c>
      <c r="G126" s="79">
        <f>SUM(GREMEDA:IAC!G126)</f>
        <v>11585470</v>
      </c>
    </row>
    <row r="127" spans="2:7" ht="13.7" customHeight="1">
      <c r="B127" s="5" t="s">
        <v>394</v>
      </c>
      <c r="C127" s="119" t="s">
        <v>273</v>
      </c>
      <c r="D127" s="79">
        <f>SUM(GREMEDA:IAC!D127)</f>
        <v>54533589.737500004</v>
      </c>
      <c r="E127" s="138" t="s">
        <v>395</v>
      </c>
      <c r="F127" s="121" t="s">
        <v>396</v>
      </c>
      <c r="G127" s="79">
        <f>SUM(GREMEDA:IAC!G127)</f>
        <v>0</v>
      </c>
    </row>
    <row r="128" spans="2:7" ht="13.7" customHeight="1">
      <c r="B128" s="5" t="s">
        <v>397</v>
      </c>
      <c r="C128" s="121" t="s">
        <v>398</v>
      </c>
      <c r="D128" s="79">
        <f>SUM(GREMEDA:IAC!D128)</f>
        <v>44240596.142500006</v>
      </c>
      <c r="E128" s="138" t="s">
        <v>399</v>
      </c>
      <c r="F128" s="121" t="s">
        <v>400</v>
      </c>
      <c r="G128" s="79">
        <f>SUM(GREMEDA:IAC!G128)</f>
        <v>10949216</v>
      </c>
    </row>
    <row r="129" spans="2:7" ht="13.7" customHeight="1">
      <c r="B129" s="5" t="s">
        <v>401</v>
      </c>
      <c r="C129" s="121" t="s">
        <v>276</v>
      </c>
      <c r="D129" s="79">
        <f>SUM(GREMEDA:IAC!D129)</f>
        <v>11271529.564999999</v>
      </c>
      <c r="E129" s="138" t="s">
        <v>402</v>
      </c>
      <c r="F129" s="121" t="s">
        <v>403</v>
      </c>
      <c r="G129" s="79">
        <f>SUM(GREMEDA:IAC!G129)</f>
        <v>24511034.050000004</v>
      </c>
    </row>
    <row r="130" spans="2:7" ht="13.7" customHeight="1">
      <c r="B130" s="5" t="s">
        <v>404</v>
      </c>
      <c r="C130" s="121" t="s">
        <v>282</v>
      </c>
      <c r="D130" s="79">
        <f>SUM(GREMEDA:IAC!D130)</f>
        <v>4281361.3875000002</v>
      </c>
      <c r="E130" s="138" t="s">
        <v>405</v>
      </c>
      <c r="F130" s="121" t="s">
        <v>406</v>
      </c>
      <c r="G130" s="79">
        <f>SUM(GREMEDA:IAC!G130)</f>
        <v>0</v>
      </c>
    </row>
    <row r="131" spans="2:7" ht="13.7" customHeight="1">
      <c r="B131" s="5" t="s">
        <v>407</v>
      </c>
      <c r="C131" s="121" t="s">
        <v>286</v>
      </c>
      <c r="D131" s="79">
        <f>SUM(GREMEDA:IAC!D131)</f>
        <v>12431664.664999999</v>
      </c>
      <c r="E131" s="138" t="s">
        <v>408</v>
      </c>
      <c r="F131" s="121" t="s">
        <v>409</v>
      </c>
      <c r="G131" s="79">
        <f>SUM(GREMEDA:IAC!G131)</f>
        <v>5386910.7999999998</v>
      </c>
    </row>
    <row r="132" spans="2:7" ht="13.7" customHeight="1">
      <c r="B132" s="5" t="s">
        <v>410</v>
      </c>
      <c r="C132" s="121" t="s">
        <v>290</v>
      </c>
      <c r="D132" s="79">
        <f>SUM(GREMEDA:IAC!D132)</f>
        <v>47275187.615000002</v>
      </c>
      <c r="E132" s="138" t="s">
        <v>411</v>
      </c>
      <c r="F132" s="121" t="s">
        <v>412</v>
      </c>
      <c r="G132" s="79">
        <f>SUM(GREMEDA:IAC!G132)</f>
        <v>24580259</v>
      </c>
    </row>
    <row r="133" spans="2:7" ht="13.7" customHeight="1">
      <c r="B133" s="5" t="s">
        <v>413</v>
      </c>
      <c r="C133" s="121" t="s">
        <v>294</v>
      </c>
      <c r="D133" s="79">
        <f>SUM(GREMEDA:IAC!D133)</f>
        <v>11519695.525</v>
      </c>
      <c r="E133" s="138" t="s">
        <v>414</v>
      </c>
      <c r="F133" s="121" t="s">
        <v>415</v>
      </c>
      <c r="G133" s="79">
        <f>SUM(GREMEDA:IAC!G133)</f>
        <v>32911156</v>
      </c>
    </row>
    <row r="134" spans="2:7" ht="13.7" customHeight="1">
      <c r="B134" s="5" t="s">
        <v>416</v>
      </c>
      <c r="C134" s="121" t="s">
        <v>417</v>
      </c>
      <c r="D134" s="79">
        <f>SUM(GREMEDA:IAC!D134)</f>
        <v>53151347.979999997</v>
      </c>
      <c r="E134" s="138" t="s">
        <v>418</v>
      </c>
      <c r="F134" s="121" t="s">
        <v>419</v>
      </c>
      <c r="G134" s="79">
        <f>SUM(GREMEDA:IAC!G134)</f>
        <v>8904668.0800000001</v>
      </c>
    </row>
    <row r="135" spans="2:7" ht="13.7" customHeight="1">
      <c r="B135" s="5" t="s">
        <v>420</v>
      </c>
      <c r="C135" s="121" t="s">
        <v>421</v>
      </c>
      <c r="D135" s="79">
        <f>SUM(GREMEDA:IAC!D135)</f>
        <v>134918958.78</v>
      </c>
      <c r="E135" s="138" t="s">
        <v>422</v>
      </c>
      <c r="F135" s="121" t="s">
        <v>423</v>
      </c>
      <c r="G135" s="79">
        <f>SUM(GREMEDA:IAC!G135)</f>
        <v>4173508</v>
      </c>
    </row>
    <row r="136" spans="2:7" ht="13.7" customHeight="1">
      <c r="B136" s="5" t="s">
        <v>424</v>
      </c>
      <c r="C136" s="121" t="s">
        <v>317</v>
      </c>
      <c r="D136" s="79">
        <f>SUM(GREMEDA:IAC!D136)</f>
        <v>296557533.70750004</v>
      </c>
      <c r="E136" s="138" t="s">
        <v>425</v>
      </c>
      <c r="F136" s="121" t="s">
        <v>426</v>
      </c>
      <c r="G136" s="79">
        <f>SUM(GREMEDA:IAC!G136)</f>
        <v>5891595</v>
      </c>
    </row>
    <row r="137" spans="2:7" ht="13.7" customHeight="1">
      <c r="B137" s="5" t="s">
        <v>427</v>
      </c>
      <c r="C137" s="78" t="s">
        <v>319</v>
      </c>
      <c r="D137" s="79">
        <f>SUM(GREMEDA:IAC!D137)</f>
        <v>23360449.426366739</v>
      </c>
      <c r="E137" s="138" t="s">
        <v>428</v>
      </c>
      <c r="F137" s="121" t="s">
        <v>429</v>
      </c>
      <c r="G137" s="79">
        <f>SUM(GREMEDA:IAC!G137)</f>
        <v>371936959.43000001</v>
      </c>
    </row>
    <row r="138" spans="2:7" ht="13.7" customHeight="1" thickBot="1">
      <c r="B138" s="5"/>
      <c r="C138" s="85" t="s">
        <v>320</v>
      </c>
      <c r="D138" s="94">
        <f>SUM(D127:D137)</f>
        <v>693541914.53136671</v>
      </c>
      <c r="E138" s="138" t="s">
        <v>430</v>
      </c>
      <c r="F138" s="78" t="s">
        <v>431</v>
      </c>
      <c r="G138" s="79">
        <f>SUM(GREMEDA:IAC!G138)</f>
        <v>12191613.800000001</v>
      </c>
    </row>
    <row r="139" spans="2:7" ht="13.7" customHeight="1" thickBot="1">
      <c r="B139" s="5" t="s">
        <v>432</v>
      </c>
      <c r="C139" s="119" t="s">
        <v>326</v>
      </c>
      <c r="D139" s="79">
        <f>SUM(GREMEDA:IAC!D139)</f>
        <v>650309</v>
      </c>
      <c r="E139" s="228"/>
      <c r="F139" s="85" t="s">
        <v>433</v>
      </c>
      <c r="G139" s="94">
        <f>SUM(G124:G138)</f>
        <v>570205444.44999993</v>
      </c>
    </row>
    <row r="140" spans="2:7" ht="13.7" customHeight="1" thickBot="1">
      <c r="B140" s="5" t="s">
        <v>434</v>
      </c>
      <c r="C140" s="121" t="s">
        <v>328</v>
      </c>
      <c r="D140" s="79">
        <f>SUM(GREMEDA:IAC!D140)</f>
        <v>28026655.223499998</v>
      </c>
      <c r="E140" s="228"/>
      <c r="F140" s="110" t="s">
        <v>435</v>
      </c>
      <c r="G140" s="126">
        <f>G123-G139</f>
        <v>-399427030.32999992</v>
      </c>
    </row>
    <row r="141" spans="2:7" ht="13.7" customHeight="1">
      <c r="B141" s="5" t="s">
        <v>436</v>
      </c>
      <c r="C141" s="78" t="s">
        <v>330</v>
      </c>
      <c r="D141" s="79">
        <f>SUM(GREMEDA:IAC!D141)</f>
        <v>990408.13305050065</v>
      </c>
      <c r="E141" s="229"/>
      <c r="F141" s="116"/>
      <c r="G141" s="116"/>
    </row>
    <row r="142" spans="2:7" ht="13.7" customHeight="1" thickBot="1">
      <c r="B142" s="5"/>
      <c r="C142" s="85" t="s">
        <v>331</v>
      </c>
      <c r="D142" s="94">
        <f>SUM(D139:D141)</f>
        <v>29667372.3565505</v>
      </c>
      <c r="E142" s="229"/>
      <c r="F142" s="116"/>
      <c r="G142" s="116"/>
    </row>
    <row r="143" spans="2:7" ht="13.5" customHeight="1" thickBot="1">
      <c r="B143" s="5"/>
      <c r="C143" s="110" t="s">
        <v>332</v>
      </c>
      <c r="D143" s="248">
        <f>SUM(GREMEDA:IAC!D143)</f>
        <v>63709304.469999999</v>
      </c>
      <c r="E143" s="138"/>
      <c r="F143" s="72" t="s">
        <v>437</v>
      </c>
      <c r="G143" s="118">
        <f>+[37]E.S.P.!D6</f>
        <v>2021</v>
      </c>
    </row>
    <row r="144" spans="2:7" ht="13.7" customHeight="1">
      <c r="B144" s="5" t="s">
        <v>438</v>
      </c>
      <c r="C144" s="119" t="s">
        <v>439</v>
      </c>
      <c r="D144" s="82">
        <f>SUM(GREMEDA:IAC!D144)</f>
        <v>27434167</v>
      </c>
      <c r="E144" s="138" t="s">
        <v>440</v>
      </c>
      <c r="F144" s="119" t="s">
        <v>441</v>
      </c>
      <c r="G144" s="79">
        <f>SUM(GREMEDA:IAC!G144)</f>
        <v>134271126.19599998</v>
      </c>
    </row>
    <row r="145" spans="2:7" ht="13.7" customHeight="1">
      <c r="B145" s="5" t="s">
        <v>442</v>
      </c>
      <c r="C145" s="121" t="s">
        <v>443</v>
      </c>
      <c r="D145" s="79">
        <f>SUM(GREMEDA:IAC!D145)</f>
        <v>13517002</v>
      </c>
      <c r="E145" s="138" t="s">
        <v>444</v>
      </c>
      <c r="F145" s="121" t="s">
        <v>445</v>
      </c>
      <c r="G145" s="79">
        <f>SUM(GREMEDA:IAC!G145)</f>
        <v>76629172.170000002</v>
      </c>
    </row>
    <row r="146" spans="2:7" ht="13.7" customHeight="1">
      <c r="B146" s="5" t="s">
        <v>446</v>
      </c>
      <c r="C146" s="128" t="s">
        <v>447</v>
      </c>
      <c r="D146" s="79">
        <f>SUM(GREMEDA:IAC!D146)</f>
        <v>34264</v>
      </c>
      <c r="E146" s="138" t="s">
        <v>448</v>
      </c>
      <c r="F146" s="121" t="s">
        <v>449</v>
      </c>
      <c r="G146" s="79">
        <f>SUM(GREMEDA:IAC!G146)</f>
        <v>88728427.049999997</v>
      </c>
    </row>
    <row r="147" spans="2:7" ht="13.7" customHeight="1">
      <c r="B147" s="5" t="s">
        <v>450</v>
      </c>
      <c r="C147" s="78" t="s">
        <v>451</v>
      </c>
      <c r="D147" s="79">
        <f>SUM(GREMEDA:IAC!D147)</f>
        <v>1370870</v>
      </c>
      <c r="E147" s="138" t="s">
        <v>452</v>
      </c>
      <c r="F147" s="121" t="s">
        <v>453</v>
      </c>
      <c r="G147" s="79">
        <f>SUM(GREMEDA:IAC!G147)</f>
        <v>33938742</v>
      </c>
    </row>
    <row r="148" spans="2:7" ht="13.7" customHeight="1" thickBot="1">
      <c r="B148" s="5"/>
      <c r="C148" s="85" t="s">
        <v>518</v>
      </c>
      <c r="D148" s="94">
        <f>SUM(D144:D147)</f>
        <v>42356303</v>
      </c>
      <c r="E148" s="138" t="s">
        <v>454</v>
      </c>
      <c r="F148" s="121" t="s">
        <v>455</v>
      </c>
      <c r="G148" s="79">
        <f>SUM(GREMEDA:IAC!G148)</f>
        <v>0</v>
      </c>
    </row>
    <row r="149" spans="2:7" ht="13.7" customHeight="1">
      <c r="B149" s="5" t="s">
        <v>456</v>
      </c>
      <c r="C149" s="119" t="s">
        <v>457</v>
      </c>
      <c r="D149" s="79">
        <f>SUM(GREMEDA:IAC!D149)</f>
        <v>9942493</v>
      </c>
      <c r="E149" s="138" t="s">
        <v>458</v>
      </c>
      <c r="F149" s="121" t="s">
        <v>459</v>
      </c>
      <c r="G149" s="79">
        <f>SUM(GREMEDA:IAC!G149)</f>
        <v>0</v>
      </c>
    </row>
    <row r="150" spans="2:7" ht="13.7" customHeight="1">
      <c r="B150" s="5" t="s">
        <v>460</v>
      </c>
      <c r="C150" s="121" t="s">
        <v>461</v>
      </c>
      <c r="D150" s="79">
        <f>SUM(GREMEDA:IAC!D150)</f>
        <v>7802800.75</v>
      </c>
      <c r="E150" s="138" t="s">
        <v>462</v>
      </c>
      <c r="F150" s="121" t="s">
        <v>463</v>
      </c>
      <c r="G150" s="79">
        <f>SUM(GREMEDA:IAC!G150)</f>
        <v>141179</v>
      </c>
    </row>
    <row r="151" spans="2:7" ht="13.7" customHeight="1">
      <c r="B151" s="5" t="s">
        <v>464</v>
      </c>
      <c r="C151" s="78" t="s">
        <v>465</v>
      </c>
      <c r="D151" s="79">
        <f>SUM(GREMEDA:IAC!D151)</f>
        <v>518166</v>
      </c>
      <c r="E151" s="138" t="s">
        <v>466</v>
      </c>
      <c r="F151" s="121" t="s">
        <v>467</v>
      </c>
      <c r="G151" s="79">
        <f>SUM(GREMEDA:IAC!G151)</f>
        <v>171000332</v>
      </c>
    </row>
    <row r="152" spans="2:7" ht="13.7" customHeight="1" thickBot="1">
      <c r="B152" s="5"/>
      <c r="C152" s="85" t="s">
        <v>516</v>
      </c>
      <c r="D152" s="94">
        <f>SUM(D149:D151)</f>
        <v>18263459.75</v>
      </c>
      <c r="E152" s="138" t="s">
        <v>469</v>
      </c>
      <c r="F152" s="121" t="s">
        <v>470</v>
      </c>
      <c r="G152" s="79">
        <f>SUM(GREMEDA:IAC!G152)</f>
        <v>4211039.2699999996</v>
      </c>
    </row>
    <row r="153" spans="2:7" ht="15" customHeight="1" thickBot="1">
      <c r="B153" s="5"/>
      <c r="C153" s="110" t="s">
        <v>471</v>
      </c>
      <c r="D153" s="129">
        <f>D122+D126+D138+D142+D143+D148+D152</f>
        <v>2728421937.6013083</v>
      </c>
      <c r="E153" s="138" t="s">
        <v>472</v>
      </c>
      <c r="F153" s="78" t="s">
        <v>473</v>
      </c>
      <c r="G153" s="79">
        <f>SUM(GREMEDA:IAC!G153)</f>
        <v>9313978.0834240466</v>
      </c>
    </row>
    <row r="154" spans="2:7" ht="13.7" customHeight="1" thickBot="1">
      <c r="B154" s="5"/>
      <c r="C154" s="116"/>
      <c r="D154" s="116"/>
      <c r="E154" s="138"/>
      <c r="F154" s="85" t="s">
        <v>474</v>
      </c>
      <c r="G154" s="94">
        <f>SUM(G144:G153)</f>
        <v>518233995.76942402</v>
      </c>
    </row>
    <row r="155" spans="2:7" ht="13.5" customHeight="1" thickBot="1">
      <c r="B155" s="5"/>
      <c r="C155" s="72" t="s">
        <v>475</v>
      </c>
      <c r="D155" s="103">
        <f>G109-D153</f>
        <v>667684438.5301919</v>
      </c>
      <c r="E155" s="138" t="s">
        <v>476</v>
      </c>
      <c r="F155" s="119" t="s">
        <v>477</v>
      </c>
      <c r="G155" s="79">
        <f>SUM(GREMEDA:IAC!G155)</f>
        <v>111649727.42999999</v>
      </c>
    </row>
    <row r="156" spans="2:7" ht="13.7" customHeight="1">
      <c r="C156" s="116"/>
      <c r="D156" s="116"/>
      <c r="E156" s="138" t="s">
        <v>478</v>
      </c>
      <c r="F156" s="121" t="s">
        <v>479</v>
      </c>
      <c r="G156" s="79">
        <f>SUM(GREMEDA:IAC!G156)</f>
        <v>97640728.859999999</v>
      </c>
    </row>
    <row r="157" spans="2:7" ht="13.7" customHeight="1">
      <c r="C157" s="116"/>
      <c r="D157" s="116"/>
      <c r="E157" s="138" t="s">
        <v>480</v>
      </c>
      <c r="F157" s="121" t="s">
        <v>481</v>
      </c>
      <c r="G157" s="79">
        <f>SUM(GREMEDA:IAC!G157)</f>
        <v>18738839</v>
      </c>
    </row>
    <row r="158" spans="2:7" ht="13.7" customHeight="1">
      <c r="C158" s="116"/>
      <c r="D158" s="116"/>
      <c r="E158" s="138" t="s">
        <v>482</v>
      </c>
      <c r="F158" s="121" t="s">
        <v>483</v>
      </c>
      <c r="G158" s="79">
        <f>SUM(GREMEDA:IAC!G158)</f>
        <v>12234156</v>
      </c>
    </row>
    <row r="159" spans="2:7" ht="13.7" customHeight="1">
      <c r="C159" s="116"/>
      <c r="D159" s="116"/>
      <c r="E159" s="138" t="s">
        <v>484</v>
      </c>
      <c r="F159" s="121" t="s">
        <v>485</v>
      </c>
      <c r="G159" s="79">
        <f>SUM(GREMEDA:IAC!G159)</f>
        <v>1262918</v>
      </c>
    </row>
    <row r="160" spans="2:7" ht="13.7" customHeight="1">
      <c r="C160" s="116"/>
      <c r="D160" s="116"/>
      <c r="E160" s="138" t="s">
        <v>486</v>
      </c>
      <c r="F160" s="121" t="s">
        <v>487</v>
      </c>
      <c r="G160" s="79">
        <f>SUM(GREMEDA:IAC!G160)</f>
        <v>1761036</v>
      </c>
    </row>
    <row r="161" spans="3:7" ht="13.7" customHeight="1">
      <c r="C161" s="116"/>
      <c r="D161" s="116"/>
      <c r="E161" s="138" t="s">
        <v>488</v>
      </c>
      <c r="F161" s="121" t="s">
        <v>489</v>
      </c>
      <c r="G161" s="79">
        <f>SUM(GREMEDA:IAC!G161)</f>
        <v>21090100.969999999</v>
      </c>
    </row>
    <row r="162" spans="3:7" ht="13.7" customHeight="1">
      <c r="C162" s="116"/>
      <c r="D162" s="116"/>
      <c r="E162" s="138" t="s">
        <v>490</v>
      </c>
      <c r="F162" s="121" t="s">
        <v>491</v>
      </c>
      <c r="G162" s="79">
        <f>SUM(GREMEDA:IAC!G162)</f>
        <v>0</v>
      </c>
    </row>
    <row r="163" spans="3:7" ht="13.7" customHeight="1">
      <c r="C163" s="116"/>
      <c r="D163" s="116"/>
      <c r="E163" s="138" t="s">
        <v>492</v>
      </c>
      <c r="F163" s="121" t="s">
        <v>493</v>
      </c>
      <c r="G163" s="79">
        <f>SUM(GREMEDA:IAC!G163)</f>
        <v>0</v>
      </c>
    </row>
    <row r="164" spans="3:7" ht="13.7" customHeight="1">
      <c r="C164" s="116"/>
      <c r="D164" s="116"/>
      <c r="E164" s="138" t="s">
        <v>494</v>
      </c>
      <c r="F164" s="121" t="s">
        <v>495</v>
      </c>
      <c r="G164" s="79">
        <f>SUM(GREMEDA:IAC!G164)</f>
        <v>6578140</v>
      </c>
    </row>
    <row r="165" spans="3:7" ht="13.7" customHeight="1">
      <c r="C165" s="116"/>
      <c r="D165" s="116"/>
      <c r="E165" s="138" t="s">
        <v>496</v>
      </c>
      <c r="F165" s="121" t="s">
        <v>497</v>
      </c>
      <c r="G165" s="79">
        <f>SUM(GREMEDA:IAC!G165)</f>
        <v>174840300</v>
      </c>
    </row>
    <row r="166" spans="3:7" ht="13.7" customHeight="1">
      <c r="C166" s="116"/>
      <c r="D166" s="116"/>
      <c r="E166" s="138" t="s">
        <v>498</v>
      </c>
      <c r="F166" s="121" t="s">
        <v>499</v>
      </c>
      <c r="G166" s="79">
        <f>SUM(GREMEDA:IAC!G166)</f>
        <v>45103530.870000005</v>
      </c>
    </row>
    <row r="167" spans="3:7" ht="13.7" customHeight="1">
      <c r="C167" s="116"/>
      <c r="D167" s="116"/>
      <c r="E167" s="138" t="s">
        <v>500</v>
      </c>
      <c r="F167" s="78" t="s">
        <v>501</v>
      </c>
      <c r="G167" s="79">
        <f>SUM(GREMEDA:IAC!G167)</f>
        <v>15851652.768368669</v>
      </c>
    </row>
    <row r="168" spans="3:7" ht="13.7" customHeight="1" thickBot="1">
      <c r="C168" s="116"/>
      <c r="D168" s="116"/>
      <c r="E168" s="138"/>
      <c r="F168" s="85" t="s">
        <v>502</v>
      </c>
      <c r="G168" s="94">
        <f>SUM(G155:G167)</f>
        <v>506751129.89836866</v>
      </c>
    </row>
    <row r="169" spans="3:7" ht="13.7" customHeight="1" thickBot="1">
      <c r="C169" s="116"/>
      <c r="D169" s="116"/>
      <c r="E169" s="138"/>
      <c r="F169" s="110" t="s">
        <v>503</v>
      </c>
      <c r="G169" s="126">
        <f>G154-G168</f>
        <v>11482865.871055365</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279740274.07124734</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79">
        <f>SUM(GREMEDA:IAC!G175)</f>
        <v>75325996.700320005</v>
      </c>
    </row>
    <row r="176" spans="3:7" ht="13.7" customHeight="1">
      <c r="C176" s="116"/>
      <c r="D176" s="116"/>
      <c r="E176" s="138"/>
      <c r="F176" s="121" t="s">
        <v>507</v>
      </c>
      <c r="G176" s="79">
        <f>SUM(GREMEDA:IAC!G176)</f>
        <v>18408995</v>
      </c>
    </row>
    <row r="177" spans="1:8" ht="13.7" customHeight="1" thickBot="1">
      <c r="C177" s="116"/>
      <c r="D177" s="116"/>
      <c r="E177" s="138"/>
      <c r="F177" s="121" t="s">
        <v>508</v>
      </c>
      <c r="G177" s="79">
        <f>SUM(GREMEDA:IAC!G177)</f>
        <v>4361430</v>
      </c>
    </row>
    <row r="178" spans="1:8" ht="13.7" customHeight="1" thickBot="1">
      <c r="C178" s="116"/>
      <c r="D178" s="116"/>
      <c r="E178" s="138"/>
      <c r="F178" s="72" t="s">
        <v>509</v>
      </c>
      <c r="G178" s="103">
        <f>SUM(G175:G177)</f>
        <v>98096421.700320005</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377836695.77156734</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105" priority="160" stopIfTrue="1" operator="greaterThan">
      <formula>50</formula>
    </cfRule>
    <cfRule type="cellIs" dxfId="104" priority="169" stopIfTrue="1" operator="equal">
      <formula>0</formula>
    </cfRule>
  </conditionalFormatting>
  <conditionalFormatting sqref="D7:D61">
    <cfRule type="cellIs" dxfId="103" priority="167" stopIfTrue="1" operator="between">
      <formula>-0.1</formula>
      <formula>-50</formula>
    </cfRule>
    <cfRule type="cellIs" dxfId="102" priority="168" stopIfTrue="1" operator="between">
      <formula>0.1</formula>
      <formula>50</formula>
    </cfRule>
  </conditionalFormatting>
  <conditionalFormatting sqref="G154 G19 G27 G32:G33 G40 G48 G57 G79 G95 G101 G105:G111 G123 G139:G143 G168:G174 G178:G181">
    <cfRule type="cellIs" dxfId="101" priority="165" stopIfTrue="1" operator="between">
      <formula>-0.1</formula>
      <formula>-50</formula>
    </cfRule>
    <cfRule type="cellIs" dxfId="100" priority="166" stopIfTrue="1" operator="between">
      <formula>0.1</formula>
      <formula>50</formula>
    </cfRule>
  </conditionalFormatting>
  <conditionalFormatting sqref="D111 D122 D126 D138 D142 D148 D152:D155">
    <cfRule type="cellIs" dxfId="99" priority="163" stopIfTrue="1" operator="between">
      <formula>-0.1</formula>
      <formula>-50</formula>
    </cfRule>
    <cfRule type="cellIs" dxfId="98" priority="164" stopIfTrue="1" operator="between">
      <formula>0.1</formula>
      <formula>50</formula>
    </cfRule>
  </conditionalFormatting>
  <conditionalFormatting sqref="D143">
    <cfRule type="cellIs" dxfId="97" priority="45" stopIfTrue="1" operator="between">
      <formula>-0.1</formula>
      <formula>-50</formula>
    </cfRule>
    <cfRule type="cellIs" dxfId="96" priority="46" stopIfTrue="1" operator="between">
      <formula>0.1</formula>
      <formula>50</formula>
    </cfRule>
  </conditionalFormatting>
  <conditionalFormatting sqref="G102">
    <cfRule type="cellIs" dxfId="95" priority="43" stopIfTrue="1" operator="between">
      <formula>-0.1</formula>
      <formula>-50</formula>
    </cfRule>
    <cfRule type="cellIs" dxfId="94" priority="44" stopIfTrue="1" operator="between">
      <formula>0.1</formula>
      <formula>50</formula>
    </cfRule>
  </conditionalFormatting>
  <conditionalFormatting sqref="D112:D121">
    <cfRule type="cellIs" dxfId="93" priority="41" stopIfTrue="1" operator="between">
      <formula>-0.1</formula>
      <formula>-50</formula>
    </cfRule>
    <cfRule type="cellIs" dxfId="92" priority="42" stopIfTrue="1" operator="between">
      <formula>0.1</formula>
      <formula>50</formula>
    </cfRule>
  </conditionalFormatting>
  <conditionalFormatting sqref="D123:D125">
    <cfRule type="cellIs" dxfId="91" priority="39" stopIfTrue="1" operator="between">
      <formula>-0.1</formula>
      <formula>-50</formula>
    </cfRule>
    <cfRule type="cellIs" dxfId="90" priority="40" stopIfTrue="1" operator="between">
      <formula>0.1</formula>
      <formula>50</formula>
    </cfRule>
  </conditionalFormatting>
  <conditionalFormatting sqref="D127:D137">
    <cfRule type="cellIs" dxfId="89" priority="37" stopIfTrue="1" operator="between">
      <formula>-0.1</formula>
      <formula>-50</formula>
    </cfRule>
    <cfRule type="cellIs" dxfId="88" priority="38" stopIfTrue="1" operator="between">
      <formula>0.1</formula>
      <formula>50</formula>
    </cfRule>
  </conditionalFormatting>
  <conditionalFormatting sqref="D139:D141">
    <cfRule type="cellIs" dxfId="87" priority="35" stopIfTrue="1" operator="between">
      <formula>-0.1</formula>
      <formula>-50</formula>
    </cfRule>
    <cfRule type="cellIs" dxfId="86" priority="36" stopIfTrue="1" operator="between">
      <formula>0.1</formula>
      <formula>50</formula>
    </cfRule>
  </conditionalFormatting>
  <conditionalFormatting sqref="D144:D147">
    <cfRule type="cellIs" dxfId="85" priority="33" stopIfTrue="1" operator="between">
      <formula>-0.1</formula>
      <formula>-50</formula>
    </cfRule>
    <cfRule type="cellIs" dxfId="84" priority="34" stopIfTrue="1" operator="between">
      <formula>0.1</formula>
      <formula>50</formula>
    </cfRule>
  </conditionalFormatting>
  <conditionalFormatting sqref="D149:D151">
    <cfRule type="cellIs" dxfId="83" priority="31" stopIfTrue="1" operator="between">
      <formula>-0.1</formula>
      <formula>-50</formula>
    </cfRule>
    <cfRule type="cellIs" dxfId="82" priority="32" stopIfTrue="1" operator="between">
      <formula>0.1</formula>
      <formula>50</formula>
    </cfRule>
  </conditionalFormatting>
  <conditionalFormatting sqref="G7:G18">
    <cfRule type="cellIs" dxfId="81" priority="29" stopIfTrue="1" operator="between">
      <formula>-0.1</formula>
      <formula>-50</formula>
    </cfRule>
    <cfRule type="cellIs" dxfId="80" priority="30" stopIfTrue="1" operator="between">
      <formula>0.1</formula>
      <formula>50</formula>
    </cfRule>
  </conditionalFormatting>
  <conditionalFormatting sqref="G20:G26">
    <cfRule type="cellIs" dxfId="79" priority="27" stopIfTrue="1" operator="between">
      <formula>-0.1</formula>
      <formula>-50</formula>
    </cfRule>
    <cfRule type="cellIs" dxfId="78" priority="28" stopIfTrue="1" operator="between">
      <formula>0.1</formula>
      <formula>50</formula>
    </cfRule>
  </conditionalFormatting>
  <conditionalFormatting sqref="G28:G31">
    <cfRule type="cellIs" dxfId="77" priority="25" stopIfTrue="1" operator="between">
      <formula>-0.1</formula>
      <formula>-50</formula>
    </cfRule>
    <cfRule type="cellIs" dxfId="76" priority="26" stopIfTrue="1" operator="between">
      <formula>0.1</formula>
      <formula>50</formula>
    </cfRule>
  </conditionalFormatting>
  <conditionalFormatting sqref="G34:G39">
    <cfRule type="cellIs" dxfId="75" priority="23" stopIfTrue="1" operator="between">
      <formula>-0.1</formula>
      <formula>-50</formula>
    </cfRule>
    <cfRule type="cellIs" dxfId="74" priority="24" stopIfTrue="1" operator="between">
      <formula>0.1</formula>
      <formula>50</formula>
    </cfRule>
  </conditionalFormatting>
  <conditionalFormatting sqref="G41:G47">
    <cfRule type="cellIs" dxfId="73" priority="21" stopIfTrue="1" operator="between">
      <formula>-0.1</formula>
      <formula>-50</formula>
    </cfRule>
    <cfRule type="cellIs" dxfId="72" priority="22" stopIfTrue="1" operator="between">
      <formula>0.1</formula>
      <formula>50</formula>
    </cfRule>
  </conditionalFormatting>
  <conditionalFormatting sqref="G49:G56">
    <cfRule type="cellIs" dxfId="71" priority="19" stopIfTrue="1" operator="between">
      <formula>-0.1</formula>
      <formula>-50</formula>
    </cfRule>
    <cfRule type="cellIs" dxfId="70" priority="20" stopIfTrue="1" operator="between">
      <formula>0.1</formula>
      <formula>50</formula>
    </cfRule>
  </conditionalFormatting>
  <conditionalFormatting sqref="G58:G78">
    <cfRule type="cellIs" dxfId="69" priority="17" stopIfTrue="1" operator="between">
      <formula>-0.1</formula>
      <formula>-50</formula>
    </cfRule>
    <cfRule type="cellIs" dxfId="68" priority="18" stopIfTrue="1" operator="between">
      <formula>0.1</formula>
      <formula>50</formula>
    </cfRule>
  </conditionalFormatting>
  <conditionalFormatting sqref="G80:G94">
    <cfRule type="cellIs" dxfId="67" priority="15" stopIfTrue="1" operator="between">
      <formula>-0.1</formula>
      <formula>-50</formula>
    </cfRule>
    <cfRule type="cellIs" dxfId="66" priority="16" stopIfTrue="1" operator="between">
      <formula>0.1</formula>
      <formula>50</formula>
    </cfRule>
  </conditionalFormatting>
  <conditionalFormatting sqref="G96:G100">
    <cfRule type="cellIs" dxfId="65" priority="13" stopIfTrue="1" operator="between">
      <formula>-0.1</formula>
      <formula>-50</formula>
    </cfRule>
    <cfRule type="cellIs" dxfId="64" priority="14" stopIfTrue="1" operator="between">
      <formula>0.1</formula>
      <formula>50</formula>
    </cfRule>
  </conditionalFormatting>
  <conditionalFormatting sqref="G103:G104">
    <cfRule type="cellIs" dxfId="63" priority="11" stopIfTrue="1" operator="between">
      <formula>-0.1</formula>
      <formula>-50</formula>
    </cfRule>
    <cfRule type="cellIs" dxfId="62" priority="12" stopIfTrue="1" operator="between">
      <formula>0.1</formula>
      <formula>50</formula>
    </cfRule>
  </conditionalFormatting>
  <conditionalFormatting sqref="G112:G122">
    <cfRule type="cellIs" dxfId="61" priority="9" stopIfTrue="1" operator="between">
      <formula>-0.1</formula>
      <formula>-50</formula>
    </cfRule>
    <cfRule type="cellIs" dxfId="60" priority="10" stopIfTrue="1" operator="between">
      <formula>0.1</formula>
      <formula>50</formula>
    </cfRule>
  </conditionalFormatting>
  <conditionalFormatting sqref="G124:G138">
    <cfRule type="cellIs" dxfId="59" priority="7" stopIfTrue="1" operator="between">
      <formula>-0.1</formula>
      <formula>-50</formula>
    </cfRule>
    <cfRule type="cellIs" dxfId="58" priority="8" stopIfTrue="1" operator="between">
      <formula>0.1</formula>
      <formula>50</formula>
    </cfRule>
  </conditionalFormatting>
  <conditionalFormatting sqref="G144:G153">
    <cfRule type="cellIs" dxfId="57" priority="5" stopIfTrue="1" operator="between">
      <formula>-0.1</formula>
      <formula>-50</formula>
    </cfRule>
    <cfRule type="cellIs" dxfId="56" priority="6" stopIfTrue="1" operator="between">
      <formula>0.1</formula>
      <formula>50</formula>
    </cfRule>
  </conditionalFormatting>
  <conditionalFormatting sqref="G155:G167">
    <cfRule type="cellIs" dxfId="55" priority="3" stopIfTrue="1" operator="between">
      <formula>-0.1</formula>
      <formula>-50</formula>
    </cfRule>
    <cfRule type="cellIs" dxfId="54" priority="4" stopIfTrue="1" operator="between">
      <formula>0.1</formula>
      <formula>50</formula>
    </cfRule>
  </conditionalFormatting>
  <conditionalFormatting sqref="G175:G177">
    <cfRule type="cellIs" dxfId="53" priority="1" stopIfTrue="1" operator="between">
      <formula>-0.1</formula>
      <formula>-50</formula>
    </cfRule>
    <cfRule type="cellIs" dxfId="52" priority="2" stopIfTrue="1" operator="between">
      <formula>0.1</formula>
      <formula>50</formula>
    </cfRule>
  </conditionalFormatting>
  <dataValidations count="7">
    <dataValidation type="whole" operator="greaterThan" showInputMessage="1" showErrorMessage="1" errorTitle="eee" error="Valores mayores a $50" sqref="D7:D12">
      <formula1>50</formula1>
    </dataValidation>
    <dataValidation type="custom" operator="greaterThan" showInputMessage="1" showErrorMessage="1" errorTitle="eee" sqref="D60:D61">
      <formula1>OR(D60=0, D60&lt;0)</formula1>
    </dataValidation>
    <dataValidation type="custom" operator="greaterThan" showInputMessage="1" showErrorMessage="1" errorTitle="eee" sqref="D62:D155 D13:D59 G144:G181 G7:G140">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D20:D21 D35 D52:D55 D60:D111 D152:D182 G27 G48 G95 G123 G139:G143 G168:G174 G178:G1048576 D7:D19 D29 D22:D28 D30:D34 D47:D48 D36:D46 D49:D51 D56:D59 D126 D122 D112:D121 D123:D125 D148 D142:D143 D138 D127:D137 D139:D141 D144:D147 D149:D151 G19 G7:G18 G20:G26 G40 G32:G33 G28:G31 G34:G39 G41:G47 G57 G49:G56 G58 G79 G80:G94 G105:G111 G101:G102 G96:G100 G103:G104 G112:G122 G124:G138 G154 G144:G153 G155:G167 G175:G177" unlockedFormula="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26"/>
  <sheetViews>
    <sheetView showGridLines="0" topLeftCell="A163" zoomScaleNormal="100" zoomScaleSheetLayoutView="100" workbookViewId="0">
      <selection activeCell="F182" sqref="F182"/>
    </sheetView>
  </sheetViews>
  <sheetFormatPr baseColWidth="10" defaultColWidth="0" defaultRowHeight="15.75" zeroHeight="1"/>
  <cols>
    <col min="1" max="1" width="3" style="1" customWidth="1"/>
    <col min="2" max="2" width="14.28515625" style="6" hidden="1" customWidth="1"/>
    <col min="3" max="3" width="56.5703125" style="19" customWidth="1"/>
    <col min="4" max="4" width="21" style="19" customWidth="1"/>
    <col min="5" max="5" width="3.85546875" style="13" customWidth="1"/>
    <col min="6" max="6" width="57.28515625" style="19" customWidth="1"/>
    <col min="7" max="7" width="21.85546875" style="19" customWidth="1"/>
    <col min="8" max="8" width="13.140625" style="4" hidden="1"/>
    <col min="9" max="16383" width="11.42578125" style="4" hidden="1"/>
    <col min="16384" max="16384" width="14.28515625" style="4" hidden="1"/>
  </cols>
  <sheetData>
    <row r="1" spans="1:9 16384:16384">
      <c r="B1" s="2"/>
      <c r="C1" s="255" t="s">
        <v>0</v>
      </c>
      <c r="D1" s="258"/>
      <c r="E1" s="253" t="s">
        <v>515</v>
      </c>
      <c r="F1" s="253"/>
      <c r="G1" s="136"/>
      <c r="H1" s="3"/>
    </row>
    <row r="2" spans="1:9 16384:16384">
      <c r="B2" s="5"/>
      <c r="C2" s="255" t="s">
        <v>1</v>
      </c>
      <c r="D2" s="258"/>
      <c r="E2" s="253" t="s">
        <v>515</v>
      </c>
      <c r="F2" s="253"/>
      <c r="G2" s="136"/>
      <c r="H2" s="3"/>
    </row>
    <row r="3" spans="1:9 16384:16384">
      <c r="B3" s="5"/>
      <c r="C3" s="263" t="s">
        <v>2</v>
      </c>
      <c r="D3" s="263"/>
      <c r="E3" s="254" t="s">
        <v>3</v>
      </c>
      <c r="F3" s="254"/>
      <c r="G3" s="136"/>
      <c r="H3" s="3"/>
    </row>
    <row r="4" spans="1:9 16384:16384" ht="12.75" customHeight="1" thickBot="1">
      <c r="C4" s="65"/>
      <c r="D4" s="7"/>
      <c r="E4" s="8"/>
      <c r="F4" s="9"/>
      <c r="G4" s="10"/>
    </row>
    <row r="5" spans="1:9 16384:16384" ht="15.75" customHeight="1" thickBot="1">
      <c r="B5" s="11"/>
      <c r="C5" s="72" t="s">
        <v>4</v>
      </c>
      <c r="D5" s="73" t="s">
        <v>5</v>
      </c>
      <c r="E5" s="137"/>
      <c r="F5" s="72" t="s">
        <v>6</v>
      </c>
      <c r="G5" s="73" t="s">
        <v>5</v>
      </c>
      <c r="I5" s="12"/>
    </row>
    <row r="6" spans="1:9 16384:16384" ht="12.75" customHeight="1" thickBot="1">
      <c r="B6" s="11"/>
      <c r="C6" s="75" t="s">
        <v>7</v>
      </c>
      <c r="D6" s="76">
        <f>+[37]E.S.P.!D6</f>
        <v>2021</v>
      </c>
      <c r="E6" s="138"/>
      <c r="F6" s="75" t="s">
        <v>8</v>
      </c>
      <c r="G6" s="76">
        <f>+D6</f>
        <v>2021</v>
      </c>
      <c r="H6" s="12"/>
    </row>
    <row r="7" spans="1:9 16384:16384">
      <c r="B7" s="5" t="s">
        <v>9</v>
      </c>
      <c r="C7" s="78" t="s">
        <v>10</v>
      </c>
      <c r="D7" s="79">
        <f>SUM(ASOC.ESPAÑOLA:IAC!D7)</f>
        <v>1960710383</v>
      </c>
      <c r="E7" s="138" t="s">
        <v>11</v>
      </c>
      <c r="F7" s="80" t="s">
        <v>12</v>
      </c>
      <c r="G7" s="79">
        <f>SUM(ASOC.ESPAÑOLA:IAC!G7)</f>
        <v>497349175.84999996</v>
      </c>
      <c r="H7" s="252"/>
      <c r="XFD7" s="252"/>
    </row>
    <row r="8" spans="1:9 16384:16384">
      <c r="B8" s="5" t="s">
        <v>13</v>
      </c>
      <c r="C8" s="78" t="s">
        <v>14</v>
      </c>
      <c r="D8" s="79">
        <f>SUM(ASOC.ESPAÑOLA:IAC!D8)</f>
        <v>2125064537</v>
      </c>
      <c r="E8" s="138" t="s">
        <v>15</v>
      </c>
      <c r="F8" s="78" t="s">
        <v>16</v>
      </c>
      <c r="G8" s="79">
        <f>SUM(ASOC.ESPAÑOLA:IAC!G8)</f>
        <v>3541638729.8499999</v>
      </c>
      <c r="H8" s="252"/>
      <c r="XFD8" s="252"/>
    </row>
    <row r="9" spans="1:9 16384:16384">
      <c r="B9" s="5" t="s">
        <v>17</v>
      </c>
      <c r="C9" s="78" t="s">
        <v>18</v>
      </c>
      <c r="D9" s="79">
        <f>SUM(ASOC.ESPAÑOLA:IAC!D9)</f>
        <v>64152649328.230003</v>
      </c>
      <c r="E9" s="138" t="s">
        <v>19</v>
      </c>
      <c r="F9" s="78" t="s">
        <v>20</v>
      </c>
      <c r="G9" s="79">
        <f>SUM(ASOC.ESPAÑOLA:IAC!G9)</f>
        <v>2372153039.5525002</v>
      </c>
      <c r="H9" s="252"/>
      <c r="XFD9" s="252"/>
    </row>
    <row r="10" spans="1:9 16384:16384">
      <c r="B10" s="5" t="s">
        <v>21</v>
      </c>
      <c r="C10" s="78" t="s">
        <v>22</v>
      </c>
      <c r="D10" s="79">
        <f>SUM(ASOC.ESPAÑOLA:IAC!D10)</f>
        <v>6262374179</v>
      </c>
      <c r="E10" s="138" t="s">
        <v>23</v>
      </c>
      <c r="F10" s="78" t="s">
        <v>24</v>
      </c>
      <c r="G10" s="79">
        <f>SUM(ASOC.ESPAÑOLA:IAC!G10)</f>
        <v>10777290888.26</v>
      </c>
      <c r="H10" s="252"/>
      <c r="XFD10" s="252"/>
    </row>
    <row r="11" spans="1:9 16384:16384">
      <c r="B11" s="5" t="s">
        <v>25</v>
      </c>
      <c r="C11" s="78" t="s">
        <v>26</v>
      </c>
      <c r="D11" s="79">
        <f>SUM(ASOC.ESPAÑOLA:IAC!D11)</f>
        <v>1282681068</v>
      </c>
      <c r="E11" s="138" t="s">
        <v>27</v>
      </c>
      <c r="F11" s="78" t="s">
        <v>28</v>
      </c>
      <c r="G11" s="79">
        <f>SUM(ASOC.ESPAÑOLA:IAC!G11)</f>
        <v>5749240109.3175001</v>
      </c>
      <c r="H11" s="252"/>
      <c r="XFD11" s="252"/>
    </row>
    <row r="12" spans="1:9 16384:16384">
      <c r="B12" s="5" t="s">
        <v>29</v>
      </c>
      <c r="C12" s="78" t="s">
        <v>30</v>
      </c>
      <c r="D12" s="79">
        <f>SUM(ASOC.ESPAÑOLA:IAC!D12)</f>
        <v>1455679751</v>
      </c>
      <c r="E12" s="138" t="s">
        <v>31</v>
      </c>
      <c r="F12" s="78" t="s">
        <v>32</v>
      </c>
      <c r="G12" s="79">
        <f>SUM(ASOC.ESPAÑOLA:IAC!G12)</f>
        <v>4359191914.5299997</v>
      </c>
      <c r="H12" s="252"/>
      <c r="XFD12" s="252"/>
    </row>
    <row r="13" spans="1:9 16384:16384">
      <c r="B13" s="5" t="s">
        <v>33</v>
      </c>
      <c r="C13" s="78" t="s">
        <v>34</v>
      </c>
      <c r="D13" s="79">
        <f>SUM(ASOC.ESPAÑOLA:IAC!D13)</f>
        <v>71987239</v>
      </c>
      <c r="E13" s="138" t="s">
        <v>35</v>
      </c>
      <c r="F13" s="78" t="s">
        <v>36</v>
      </c>
      <c r="G13" s="79">
        <f>SUM(ASOC.ESPAÑOLA:IAC!G13)</f>
        <v>1107135010.8800001</v>
      </c>
      <c r="H13" s="252"/>
      <c r="XFD13" s="252"/>
    </row>
    <row r="14" spans="1:9 16384:16384">
      <c r="A14" s="14"/>
      <c r="B14" s="5" t="s">
        <v>37</v>
      </c>
      <c r="C14" s="78" t="s">
        <v>38</v>
      </c>
      <c r="D14" s="79">
        <f>SUM(ASOC.ESPAÑOLA:IAC!D14)</f>
        <v>468749388</v>
      </c>
      <c r="E14" s="138" t="s">
        <v>39</v>
      </c>
      <c r="F14" s="78" t="s">
        <v>40</v>
      </c>
      <c r="G14" s="79">
        <f>SUM(ASOC.ESPAÑOLA:IAC!G14)</f>
        <v>11241446175.75</v>
      </c>
      <c r="H14" s="252"/>
      <c r="XFD14" s="252"/>
    </row>
    <row r="15" spans="1:9 16384:16384">
      <c r="B15" s="5" t="s">
        <v>41</v>
      </c>
      <c r="C15" s="83" t="s">
        <v>42</v>
      </c>
      <c r="D15" s="79">
        <f>SUM(ASOC.ESPAÑOLA:IAC!D15)</f>
        <v>57804217</v>
      </c>
      <c r="E15" s="138" t="s">
        <v>43</v>
      </c>
      <c r="F15" s="78" t="s">
        <v>44</v>
      </c>
      <c r="G15" s="79">
        <f>SUM(ASOC.ESPAÑOLA:IAC!G15)</f>
        <v>5041843729.2099991</v>
      </c>
      <c r="H15" s="252"/>
      <c r="XFD15" s="252"/>
    </row>
    <row r="16" spans="1:9 16384:16384">
      <c r="B16" s="5" t="s">
        <v>45</v>
      </c>
      <c r="C16" s="78" t="s">
        <v>46</v>
      </c>
      <c r="D16" s="79">
        <f>SUM(ASOC.ESPAÑOLA:IAC!D16)</f>
        <v>3396</v>
      </c>
      <c r="E16" s="138" t="s">
        <v>47</v>
      </c>
      <c r="F16" s="78" t="s">
        <v>48</v>
      </c>
      <c r="G16" s="79">
        <f>SUM(ASOC.ESPAÑOLA:IAC!G16)</f>
        <v>4141852663.0300002</v>
      </c>
      <c r="H16" s="252"/>
      <c r="XFD16" s="252"/>
    </row>
    <row r="17" spans="1:8 16384:16384">
      <c r="B17" s="5" t="s">
        <v>49</v>
      </c>
      <c r="C17" s="78" t="s">
        <v>50</v>
      </c>
      <c r="D17" s="79">
        <f>SUM(ASOC.ESPAÑOLA:IAC!D17)</f>
        <v>151</v>
      </c>
      <c r="E17" s="138" t="s">
        <v>51</v>
      </c>
      <c r="F17" s="78" t="s">
        <v>52</v>
      </c>
      <c r="G17" s="79">
        <f>SUM(ASOC.ESPAÑOLA:IAC!G17)</f>
        <v>119004946</v>
      </c>
      <c r="H17" s="252"/>
      <c r="XFD17" s="252"/>
    </row>
    <row r="18" spans="1:8 16384:16384">
      <c r="A18" s="14"/>
      <c r="B18" s="5" t="s">
        <v>53</v>
      </c>
      <c r="C18" s="78" t="s">
        <v>54</v>
      </c>
      <c r="D18" s="79">
        <f>SUM(ASOC.ESPAÑOLA:IAC!D18)</f>
        <v>1101411072</v>
      </c>
      <c r="E18" s="138" t="s">
        <v>55</v>
      </c>
      <c r="F18" s="78" t="s">
        <v>56</v>
      </c>
      <c r="G18" s="79">
        <f>SUM(ASOC.ESPAÑOLA:IAC!G18)</f>
        <v>1714633764.5</v>
      </c>
      <c r="H18" s="252"/>
      <c r="XFD18" s="252"/>
    </row>
    <row r="19" spans="1:8 16384:16384" ht="16.5" thickBot="1">
      <c r="A19" s="14"/>
      <c r="B19" s="5" t="s">
        <v>57</v>
      </c>
      <c r="C19" s="78" t="s">
        <v>58</v>
      </c>
      <c r="D19" s="79">
        <f>SUM(ASOC.ESPAÑOLA:IAC!D19)</f>
        <v>2765471682.1381941</v>
      </c>
      <c r="E19" s="138"/>
      <c r="F19" s="85" t="s">
        <v>59</v>
      </c>
      <c r="G19" s="86">
        <f>SUM(G7:G18)</f>
        <v>50662780146.730003</v>
      </c>
      <c r="H19" s="252"/>
      <c r="XFD19" s="252"/>
    </row>
    <row r="20" spans="1:8 16384:16384" ht="16.5" thickBot="1">
      <c r="B20" s="5"/>
      <c r="C20" s="85" t="s">
        <v>60</v>
      </c>
      <c r="D20" s="86">
        <f>SUM(D7:D19)</f>
        <v>81704586391.36821</v>
      </c>
      <c r="E20" s="138" t="s">
        <v>61</v>
      </c>
      <c r="F20" s="80" t="s">
        <v>62</v>
      </c>
      <c r="G20" s="79">
        <f>SUM(ASOC.ESPAÑOLA:IAC!G20)</f>
        <v>29632279.360000003</v>
      </c>
      <c r="H20" s="252"/>
      <c r="XFD20" s="252"/>
    </row>
    <row r="21" spans="1:8 16384:16384">
      <c r="B21" s="5"/>
      <c r="C21" s="87" t="s">
        <v>63</v>
      </c>
      <c r="D21" s="88">
        <f>SUM(D22:D28)</f>
        <v>925987025.21293736</v>
      </c>
      <c r="E21" s="138" t="s">
        <v>64</v>
      </c>
      <c r="F21" s="78" t="s">
        <v>65</v>
      </c>
      <c r="G21" s="79">
        <f>SUM(ASOC.ESPAÑOLA:IAC!G21)</f>
        <v>1216688118.04</v>
      </c>
      <c r="H21" s="252"/>
      <c r="XFD21" s="252"/>
    </row>
    <row r="22" spans="1:8 16384:16384">
      <c r="B22" s="5" t="s">
        <v>66</v>
      </c>
      <c r="C22" s="78" t="s">
        <v>67</v>
      </c>
      <c r="D22" s="79">
        <f>SUM(ASOC.ESPAÑOLA:IAC!D22)</f>
        <v>466601735.06</v>
      </c>
      <c r="E22" s="138" t="s">
        <v>68</v>
      </c>
      <c r="F22" s="78" t="s">
        <v>69</v>
      </c>
      <c r="G22" s="79">
        <f>SUM(ASOC.ESPAÑOLA:IAC!G22)</f>
        <v>366047572.09000003</v>
      </c>
      <c r="H22" s="252"/>
      <c r="XFD22" s="252"/>
    </row>
    <row r="23" spans="1:8 16384:16384">
      <c r="B23" s="5" t="s">
        <v>70</v>
      </c>
      <c r="C23" s="78" t="s">
        <v>71</v>
      </c>
      <c r="D23" s="79">
        <f>SUM(ASOC.ESPAÑOLA:IAC!D23)</f>
        <v>85752654.539999992</v>
      </c>
      <c r="E23" s="138" t="s">
        <v>72</v>
      </c>
      <c r="F23" s="78" t="s">
        <v>73</v>
      </c>
      <c r="G23" s="79">
        <f>SUM(ASOC.ESPAÑOLA:IAC!G23)</f>
        <v>923286829.27999997</v>
      </c>
      <c r="H23" s="252"/>
      <c r="XFD23" s="252"/>
    </row>
    <row r="24" spans="1:8 16384:16384">
      <c r="B24" s="5" t="s">
        <v>74</v>
      </c>
      <c r="C24" s="78" t="s">
        <v>75</v>
      </c>
      <c r="D24" s="79">
        <f>SUM(ASOC.ESPAÑOLA:IAC!D24)</f>
        <v>159803814.88999999</v>
      </c>
      <c r="E24" s="138" t="s">
        <v>76</v>
      </c>
      <c r="F24" s="78" t="s">
        <v>77</v>
      </c>
      <c r="G24" s="79">
        <f>SUM(ASOC.ESPAÑOLA:IAC!G24)</f>
        <v>57839747</v>
      </c>
      <c r="H24" s="252"/>
      <c r="XFD24" s="252"/>
    </row>
    <row r="25" spans="1:8 16384:16384">
      <c r="B25" s="5" t="s">
        <v>78</v>
      </c>
      <c r="C25" s="78" t="s">
        <v>79</v>
      </c>
      <c r="D25" s="79">
        <f>SUM(ASOC.ESPAÑOLA:IAC!D25)</f>
        <v>54494504.780000001</v>
      </c>
      <c r="E25" s="138" t="s">
        <v>80</v>
      </c>
      <c r="F25" s="78" t="s">
        <v>81</v>
      </c>
      <c r="G25" s="79">
        <f>SUM(ASOC.ESPAÑOLA:IAC!G25)</f>
        <v>317749724.20000005</v>
      </c>
      <c r="H25" s="252"/>
      <c r="XFD25" s="252"/>
    </row>
    <row r="26" spans="1:8 16384:16384">
      <c r="B26" s="5" t="s">
        <v>82</v>
      </c>
      <c r="C26" s="78" t="s">
        <v>83</v>
      </c>
      <c r="D26" s="79">
        <f>SUM(ASOC.ESPAÑOLA:IAC!D26)</f>
        <v>43864997.909999996</v>
      </c>
      <c r="E26" s="138" t="s">
        <v>84</v>
      </c>
      <c r="F26" s="78" t="s">
        <v>85</v>
      </c>
      <c r="G26" s="79">
        <f>SUM(ASOC.ESPAÑOLA:IAC!G26)</f>
        <v>101968799</v>
      </c>
      <c r="H26" s="252"/>
      <c r="XFD26" s="252"/>
    </row>
    <row r="27" spans="1:8 16384:16384" ht="13.5" customHeight="1" thickBot="1">
      <c r="B27" s="5" t="s">
        <v>86</v>
      </c>
      <c r="C27" s="78" t="s">
        <v>87</v>
      </c>
      <c r="D27" s="79">
        <f>SUM(ASOC.ESPAÑOLA:IAC!D27)</f>
        <v>84532836.230000004</v>
      </c>
      <c r="E27" s="138"/>
      <c r="F27" s="85" t="s">
        <v>88</v>
      </c>
      <c r="G27" s="86">
        <f>SUM(G20:G26)</f>
        <v>3013213068.9699993</v>
      </c>
      <c r="H27" s="252"/>
      <c r="XFD27" s="252"/>
    </row>
    <row r="28" spans="1:8 16384:16384">
      <c r="B28" s="5" t="s">
        <v>89</v>
      </c>
      <c r="C28" s="78" t="s">
        <v>90</v>
      </c>
      <c r="D28" s="79">
        <f>SUM(ASOC.ESPAÑOLA:IAC!D28)</f>
        <v>30936481.802937329</v>
      </c>
      <c r="E28" s="138" t="s">
        <v>91</v>
      </c>
      <c r="F28" s="80" t="s">
        <v>92</v>
      </c>
      <c r="G28" s="79">
        <f>SUM(ASOC.ESPAÑOLA:IAC!G28)</f>
        <v>2659882630.6100001</v>
      </c>
      <c r="H28" s="252"/>
      <c r="XFD28" s="252"/>
    </row>
    <row r="29" spans="1:8 16384:16384">
      <c r="B29" s="5"/>
      <c r="C29" s="89" t="s">
        <v>93</v>
      </c>
      <c r="D29" s="88">
        <f>SUM(D30:D34)</f>
        <v>6299085665.9230547</v>
      </c>
      <c r="E29" s="138" t="s">
        <v>94</v>
      </c>
      <c r="F29" s="78" t="s">
        <v>95</v>
      </c>
      <c r="G29" s="79">
        <f>SUM(ASOC.ESPAÑOLA:IAC!G29)</f>
        <v>1267045235.79</v>
      </c>
      <c r="H29" s="252"/>
      <c r="XFD29" s="252"/>
    </row>
    <row r="30" spans="1:8 16384:16384">
      <c r="B30" s="5" t="s">
        <v>96</v>
      </c>
      <c r="C30" s="78" t="s">
        <v>97</v>
      </c>
      <c r="D30" s="79">
        <f>SUM(ASOC.ESPAÑOLA:IAC!D30)</f>
        <v>4848170936.4400005</v>
      </c>
      <c r="E30" s="138" t="s">
        <v>98</v>
      </c>
      <c r="F30" s="78" t="s">
        <v>99</v>
      </c>
      <c r="G30" s="79">
        <f>SUM(ASOC.ESPAÑOLA:IAC!G30)</f>
        <v>666857427.31999993</v>
      </c>
      <c r="H30" s="252"/>
      <c r="XFD30" s="252"/>
    </row>
    <row r="31" spans="1:8 16384:16384">
      <c r="B31" s="5" t="s">
        <v>100</v>
      </c>
      <c r="C31" s="78" t="s">
        <v>101</v>
      </c>
      <c r="D31" s="79">
        <f>SUM(ASOC.ESPAÑOLA:IAC!D31)</f>
        <v>543770999.54999995</v>
      </c>
      <c r="E31" s="138" t="s">
        <v>102</v>
      </c>
      <c r="F31" s="78" t="s">
        <v>103</v>
      </c>
      <c r="G31" s="79">
        <f>SUM(ASOC.ESPAÑOLA:IAC!G31)</f>
        <v>153238591.73629627</v>
      </c>
      <c r="H31" s="252"/>
      <c r="XFD31" s="252"/>
    </row>
    <row r="32" spans="1:8 16384:16384" ht="16.5" thickBot="1">
      <c r="B32" s="5" t="s">
        <v>104</v>
      </c>
      <c r="C32" s="78" t="s">
        <v>105</v>
      </c>
      <c r="D32" s="79">
        <f>SUM(ASOC.ESPAÑOLA:IAC!D32)</f>
        <v>564444766.20000005</v>
      </c>
      <c r="E32" s="138"/>
      <c r="F32" s="85" t="s">
        <v>106</v>
      </c>
      <c r="G32" s="86">
        <f>SUM(G28:G31)</f>
        <v>4747023885.4562969</v>
      </c>
      <c r="H32" s="252"/>
      <c r="XFD32" s="252"/>
    </row>
    <row r="33" spans="2:8 16384:16384">
      <c r="B33" s="5" t="s">
        <v>107</v>
      </c>
      <c r="C33" s="78" t="s">
        <v>108</v>
      </c>
      <c r="D33" s="79">
        <f>SUM(ASOC.ESPAÑOLA:IAC!D33)</f>
        <v>138946898.92000002</v>
      </c>
      <c r="E33" s="138"/>
      <c r="F33" s="89" t="s">
        <v>109</v>
      </c>
      <c r="G33" s="88">
        <f>SUM(G34:G39)</f>
        <v>5739105769.3500004</v>
      </c>
      <c r="H33" s="252"/>
      <c r="XFD33" s="252"/>
    </row>
    <row r="34" spans="2:8 16384:16384">
      <c r="B34" s="5" t="s">
        <v>110</v>
      </c>
      <c r="C34" s="78" t="s">
        <v>111</v>
      </c>
      <c r="D34" s="79">
        <f>SUM(ASOC.ESPAÑOLA:IAC!D34)</f>
        <v>203752064.81305438</v>
      </c>
      <c r="E34" s="138" t="s">
        <v>112</v>
      </c>
      <c r="F34" s="78" t="s">
        <v>113</v>
      </c>
      <c r="G34" s="79">
        <f>SUM(ASOC.ESPAÑOLA:IAC!G34)</f>
        <v>314016222.00864446</v>
      </c>
      <c r="H34" s="252"/>
      <c r="XFD34" s="252"/>
    </row>
    <row r="35" spans="2:8 16384:16384" ht="16.5" thickBot="1">
      <c r="B35" s="5"/>
      <c r="C35" s="85" t="s">
        <v>114</v>
      </c>
      <c r="D35" s="86">
        <f>+D21+D29</f>
        <v>7225072691.1359921</v>
      </c>
      <c r="E35" s="138" t="s">
        <v>115</v>
      </c>
      <c r="F35" s="78" t="s">
        <v>116</v>
      </c>
      <c r="G35" s="79">
        <f>SUM(ASOC.ESPAÑOLA:IAC!G35)</f>
        <v>238143141.6834875</v>
      </c>
      <c r="H35" s="252"/>
      <c r="XFD35" s="252"/>
    </row>
    <row r="36" spans="2:8 16384:16384">
      <c r="B36" s="5" t="s">
        <v>117</v>
      </c>
      <c r="C36" s="78" t="s">
        <v>118</v>
      </c>
      <c r="D36" s="79">
        <f>SUM(ASOC.ESPAÑOLA:IAC!D36)</f>
        <v>673470379.90999997</v>
      </c>
      <c r="E36" s="138" t="s">
        <v>119</v>
      </c>
      <c r="F36" s="78" t="s">
        <v>517</v>
      </c>
      <c r="G36" s="79">
        <f>SUM(ASOC.ESPAÑOLA:IAC!G36)</f>
        <v>147578306.29617947</v>
      </c>
      <c r="H36" s="252"/>
      <c r="XFD36" s="252"/>
    </row>
    <row r="37" spans="2:8 16384:16384">
      <c r="B37" s="5" t="s">
        <v>120</v>
      </c>
      <c r="C37" s="78" t="s">
        <v>121</v>
      </c>
      <c r="D37" s="79">
        <f>SUM(ASOC.ESPAÑOLA:IAC!D37)</f>
        <v>1184042597</v>
      </c>
      <c r="E37" s="138" t="s">
        <v>122</v>
      </c>
      <c r="F37" s="78" t="s">
        <v>123</v>
      </c>
      <c r="G37" s="79">
        <f>SUM(ASOC.ESPAÑOLA:IAC!G37)</f>
        <v>363025123.54384524</v>
      </c>
      <c r="H37" s="252"/>
      <c r="XFD37" s="252"/>
    </row>
    <row r="38" spans="2:8 16384:16384">
      <c r="B38" s="5" t="s">
        <v>124</v>
      </c>
      <c r="C38" s="78" t="s">
        <v>125</v>
      </c>
      <c r="D38" s="79">
        <f>SUM(ASOC.ESPAÑOLA:IAC!D38)</f>
        <v>178960334.07999998</v>
      </c>
      <c r="E38" s="138" t="s">
        <v>126</v>
      </c>
      <c r="F38" s="78" t="s">
        <v>127</v>
      </c>
      <c r="G38" s="79">
        <f>SUM(ASOC.ESPAÑOLA:IAC!G38)</f>
        <v>620955409.37413168</v>
      </c>
      <c r="H38" s="252"/>
      <c r="XFD38" s="252"/>
    </row>
    <row r="39" spans="2:8 16384:16384">
      <c r="B39" s="5" t="s">
        <v>128</v>
      </c>
      <c r="C39" s="78" t="s">
        <v>129</v>
      </c>
      <c r="D39" s="79">
        <f>SUM(ASOC.ESPAÑOLA:IAC!D39)</f>
        <v>204108814</v>
      </c>
      <c r="E39" s="138" t="s">
        <v>130</v>
      </c>
      <c r="F39" s="78" t="s">
        <v>131</v>
      </c>
      <c r="G39" s="79">
        <f>SUM(ASOC.ESPAÑOLA:IAC!G39)</f>
        <v>4055387566.4437118</v>
      </c>
      <c r="H39" s="252"/>
      <c r="XFD39" s="252"/>
    </row>
    <row r="40" spans="2:8 16384:16384">
      <c r="B40" s="5" t="s">
        <v>132</v>
      </c>
      <c r="C40" s="78" t="s">
        <v>133</v>
      </c>
      <c r="D40" s="79">
        <f>SUM(ASOC.ESPAÑOLA:IAC!D40)</f>
        <v>296339519.13999999</v>
      </c>
      <c r="E40" s="138"/>
      <c r="F40" s="90" t="s">
        <v>134</v>
      </c>
      <c r="G40" s="91">
        <f>SUM(G41:G46)</f>
        <v>1340527761.9300001</v>
      </c>
      <c r="H40" s="252"/>
      <c r="XFD40" s="252"/>
    </row>
    <row r="41" spans="2:8 16384:16384">
      <c r="B41" s="5" t="s">
        <v>135</v>
      </c>
      <c r="C41" s="78" t="s">
        <v>136</v>
      </c>
      <c r="D41" s="79">
        <f>SUM(ASOC.ESPAÑOLA:IAC!D41)</f>
        <v>1900001160.74</v>
      </c>
      <c r="E41" s="138" t="s">
        <v>137</v>
      </c>
      <c r="F41" s="78" t="s">
        <v>138</v>
      </c>
      <c r="G41" s="79">
        <f>SUM(ASOC.ESPAÑOLA:IAC!G41)</f>
        <v>120912561.72113767</v>
      </c>
      <c r="H41" s="252"/>
      <c r="XFD41" s="252"/>
    </row>
    <row r="42" spans="2:8 16384:16384">
      <c r="B42" s="5" t="s">
        <v>139</v>
      </c>
      <c r="C42" s="78" t="s">
        <v>140</v>
      </c>
      <c r="D42" s="79">
        <f>SUM(ASOC.ESPAÑOLA:IAC!D42)</f>
        <v>1568924957.77</v>
      </c>
      <c r="E42" s="138" t="s">
        <v>141</v>
      </c>
      <c r="F42" s="78" t="s">
        <v>142</v>
      </c>
      <c r="G42" s="79">
        <f>SUM(ASOC.ESPAÑOLA:IAC!G42)</f>
        <v>10646891.195627503</v>
      </c>
      <c r="H42" s="252"/>
      <c r="XFD42" s="252"/>
    </row>
    <row r="43" spans="2:8 16384:16384">
      <c r="B43" s="5" t="s">
        <v>143</v>
      </c>
      <c r="C43" s="78" t="s">
        <v>144</v>
      </c>
      <c r="D43" s="79">
        <f>SUM(ASOC.ESPAÑOLA:IAC!D43)</f>
        <v>19747031</v>
      </c>
      <c r="E43" s="138" t="s">
        <v>145</v>
      </c>
      <c r="F43" s="78" t="s">
        <v>146</v>
      </c>
      <c r="G43" s="79">
        <f>SUM(ASOC.ESPAÑOLA:IAC!G43)</f>
        <v>153172653.70066851</v>
      </c>
      <c r="H43" s="252"/>
      <c r="XFD43" s="252"/>
    </row>
    <row r="44" spans="2:8 16384:16384">
      <c r="B44" s="5" t="s">
        <v>147</v>
      </c>
      <c r="C44" s="78" t="s">
        <v>148</v>
      </c>
      <c r="D44" s="79">
        <f>SUM(ASOC.ESPAÑOLA:IAC!D44)</f>
        <v>1034010</v>
      </c>
      <c r="E44" s="138" t="s">
        <v>149</v>
      </c>
      <c r="F44" s="78" t="s">
        <v>150</v>
      </c>
      <c r="G44" s="79">
        <f>SUM(ASOC.ESPAÑOLA:IAC!G44)</f>
        <v>62245955.023915023</v>
      </c>
      <c r="H44" s="252"/>
      <c r="XFD44" s="252"/>
    </row>
    <row r="45" spans="2:8 16384:16384">
      <c r="B45" s="5" t="s">
        <v>151</v>
      </c>
      <c r="C45" s="78" t="s">
        <v>152</v>
      </c>
      <c r="D45" s="79">
        <f>SUM(ASOC.ESPAÑOLA:IAC!D45)</f>
        <v>2049362166.2999997</v>
      </c>
      <c r="E45" s="138" t="s">
        <v>153</v>
      </c>
      <c r="F45" s="78" t="s">
        <v>154</v>
      </c>
      <c r="G45" s="79">
        <f>SUM(ASOC.ESPAÑOLA:IAC!G45)</f>
        <v>78720743.349757984</v>
      </c>
      <c r="H45" s="252"/>
      <c r="XFD45" s="252"/>
    </row>
    <row r="46" spans="2:8 16384:16384">
      <c r="B46" s="5" t="s">
        <v>155</v>
      </c>
      <c r="C46" s="78" t="s">
        <v>156</v>
      </c>
      <c r="D46" s="79">
        <f>SUM(ASOC.ESPAÑOLA:IAC!D46)</f>
        <v>261886251.10819548</v>
      </c>
      <c r="E46" s="138" t="s">
        <v>157</v>
      </c>
      <c r="F46" s="78" t="s">
        <v>158</v>
      </c>
      <c r="G46" s="79">
        <f>SUM(ASOC.ESPAÑOLA:IAC!G46)</f>
        <v>914828956.93889332</v>
      </c>
      <c r="H46" s="252"/>
      <c r="XFD46" s="252"/>
    </row>
    <row r="47" spans="2:8 16384:16384" ht="16.5" thickBot="1">
      <c r="B47" s="5"/>
      <c r="C47" s="85" t="s">
        <v>159</v>
      </c>
      <c r="D47" s="86">
        <f>SUM(D36:D46)</f>
        <v>8337877221.0481939</v>
      </c>
      <c r="E47" s="138" t="s">
        <v>160</v>
      </c>
      <c r="F47" s="78" t="s">
        <v>161</v>
      </c>
      <c r="G47" s="79">
        <f>SUM(ASOC.ESPAÑOLA:IAC!G47)</f>
        <v>255624301.82051378</v>
      </c>
      <c r="H47" s="252"/>
      <c r="XFD47" s="252"/>
    </row>
    <row r="48" spans="2:8 16384:16384" ht="16.5" thickBot="1">
      <c r="B48" s="5"/>
      <c r="C48" s="92" t="s">
        <v>162</v>
      </c>
      <c r="D48" s="93"/>
      <c r="E48" s="138"/>
      <c r="F48" s="85" t="s">
        <v>163</v>
      </c>
      <c r="G48" s="94">
        <f>+G33+G40+G47</f>
        <v>7335257833.1005144</v>
      </c>
      <c r="H48" s="252"/>
      <c r="XFD48" s="252"/>
    </row>
    <row r="49" spans="2:8 16384:16384">
      <c r="B49" s="5" t="s">
        <v>164</v>
      </c>
      <c r="C49" s="95" t="s">
        <v>165</v>
      </c>
      <c r="D49" s="79">
        <f>SUM(ASOC.ESPAÑOLA:IAC!D49)</f>
        <v>660739</v>
      </c>
      <c r="E49" s="138" t="s">
        <v>166</v>
      </c>
      <c r="F49" s="80" t="s">
        <v>167</v>
      </c>
      <c r="G49" s="79">
        <f>SUM(ASOC.ESPAÑOLA:IAC!G49)</f>
        <v>1863850101.71</v>
      </c>
      <c r="H49" s="252"/>
      <c r="XFD49" s="252"/>
    </row>
    <row r="50" spans="2:8 16384:16384">
      <c r="B50" s="5" t="s">
        <v>168</v>
      </c>
      <c r="C50" s="78" t="s">
        <v>162</v>
      </c>
      <c r="D50" s="79">
        <f>SUM(ASOC.ESPAÑOLA:IAC!D50)</f>
        <v>2258546248</v>
      </c>
      <c r="E50" s="138" t="s">
        <v>169</v>
      </c>
      <c r="F50" s="78" t="s">
        <v>170</v>
      </c>
      <c r="G50" s="79">
        <f>SUM(ASOC.ESPAÑOLA:IAC!G50)</f>
        <v>3073925789.2999997</v>
      </c>
      <c r="H50" s="252"/>
      <c r="XFD50" s="252"/>
    </row>
    <row r="51" spans="2:8 16384:16384">
      <c r="B51" s="5" t="s">
        <v>171</v>
      </c>
      <c r="C51" s="78" t="s">
        <v>172</v>
      </c>
      <c r="D51" s="79">
        <f>SUM(ASOC.ESPAÑOLA:IAC!D51)</f>
        <v>66918847.259999998</v>
      </c>
      <c r="E51" s="138" t="s">
        <v>173</v>
      </c>
      <c r="F51" s="78" t="s">
        <v>174</v>
      </c>
      <c r="G51" s="79">
        <f>SUM(ASOC.ESPAÑOLA:IAC!G51)</f>
        <v>108621716.77000001</v>
      </c>
      <c r="H51" s="252"/>
      <c r="XFD51" s="252"/>
    </row>
    <row r="52" spans="2:8 16384:16384" ht="16.5" thickBot="1">
      <c r="B52" s="11"/>
      <c r="C52" s="85" t="s">
        <v>175</v>
      </c>
      <c r="D52" s="86">
        <f>SUM(D49:D51)</f>
        <v>2326125834.2600002</v>
      </c>
      <c r="E52" s="138" t="s">
        <v>176</v>
      </c>
      <c r="F52" s="78" t="s">
        <v>177</v>
      </c>
      <c r="G52" s="79">
        <f>SUM(ASOC.ESPAÑOLA:IAC!G52)</f>
        <v>87102367.920000002</v>
      </c>
      <c r="H52" s="252"/>
      <c r="XFD52" s="252"/>
    </row>
    <row r="53" spans="2:8 16384:16384" ht="16.5" thickBot="1">
      <c r="B53" s="5"/>
      <c r="C53" s="75" t="s">
        <v>178</v>
      </c>
      <c r="D53" s="97">
        <f>D20+D35+D47+D52</f>
        <v>99593662137.812378</v>
      </c>
      <c r="E53" s="138" t="s">
        <v>179</v>
      </c>
      <c r="F53" s="78" t="s">
        <v>180</v>
      </c>
      <c r="G53" s="79">
        <f>SUM(ASOC.ESPAÑOLA:IAC!G53)</f>
        <v>442869977.2299999</v>
      </c>
      <c r="H53" s="252"/>
      <c r="XFD53" s="252"/>
    </row>
    <row r="54" spans="2:8 16384:16384">
      <c r="C54" s="98"/>
      <c r="D54" s="99"/>
      <c r="E54" s="138" t="s">
        <v>181</v>
      </c>
      <c r="F54" s="78" t="s">
        <v>182</v>
      </c>
      <c r="G54" s="79">
        <f>SUM(ASOC.ESPAÑOLA:IAC!G54)</f>
        <v>178044886.28999999</v>
      </c>
      <c r="H54" s="252"/>
      <c r="XFD54" s="252"/>
    </row>
    <row r="55" spans="2:8 16384:16384">
      <c r="C55" s="100" t="s">
        <v>183</v>
      </c>
      <c r="D55" s="101"/>
      <c r="E55" s="138" t="s">
        <v>184</v>
      </c>
      <c r="F55" s="78" t="s">
        <v>185</v>
      </c>
      <c r="G55" s="79">
        <f>SUM(ASOC.ESPAÑOLA:IAC!G55)</f>
        <v>191433848.32000002</v>
      </c>
      <c r="H55" s="252"/>
      <c r="XFD55" s="252"/>
    </row>
    <row r="56" spans="2:8 16384:16384">
      <c r="B56" s="5" t="s">
        <v>186</v>
      </c>
      <c r="C56" s="102" t="s">
        <v>187</v>
      </c>
      <c r="D56" s="79">
        <f>SUM(ASOC.ESPAÑOLA:IAC!D56)</f>
        <v>-53407077.310000002</v>
      </c>
      <c r="E56" s="138" t="s">
        <v>188</v>
      </c>
      <c r="F56" s="78" t="s">
        <v>189</v>
      </c>
      <c r="G56" s="79">
        <f>SUM(ASOC.ESPAÑOLA:IAC!G56)</f>
        <v>228672534</v>
      </c>
      <c r="H56" s="252"/>
      <c r="XFD56" s="252"/>
    </row>
    <row r="57" spans="2:8 16384:16384" ht="14.25" customHeight="1" thickBot="1">
      <c r="B57" s="5" t="s">
        <v>190</v>
      </c>
      <c r="C57" s="102" t="s">
        <v>191</v>
      </c>
      <c r="D57" s="79">
        <f>SUM(ASOC.ESPAÑOLA:IAC!D57)</f>
        <v>-26105367</v>
      </c>
      <c r="E57" s="138"/>
      <c r="F57" s="85" t="s">
        <v>192</v>
      </c>
      <c r="G57" s="86">
        <f>SUM(G49:G56)</f>
        <v>6174521221.54</v>
      </c>
      <c r="H57" s="252"/>
      <c r="XFD57" s="252"/>
    </row>
    <row r="58" spans="2:8 16384:16384">
      <c r="B58" s="5" t="s">
        <v>193</v>
      </c>
      <c r="C58" s="102" t="s">
        <v>194</v>
      </c>
      <c r="D58" s="79">
        <f>SUM(ASOC.ESPAÑOLA:IAC!D58)</f>
        <v>-11415602</v>
      </c>
      <c r="E58" s="138" t="s">
        <v>195</v>
      </c>
      <c r="F58" s="80" t="s">
        <v>196</v>
      </c>
      <c r="G58" s="79">
        <f>SUM(ASOC.ESPAÑOLA:IAC!G58)</f>
        <v>2809631958.5</v>
      </c>
      <c r="H58" s="252"/>
      <c r="XFD58" s="252"/>
    </row>
    <row r="59" spans="2:8 16384:16384">
      <c r="B59" s="5" t="s">
        <v>197</v>
      </c>
      <c r="C59" s="78" t="s">
        <v>198</v>
      </c>
      <c r="D59" s="79">
        <f>SUM(ASOC.ESPAÑOLA:IAC!D59)</f>
        <v>-3351027.2874983493</v>
      </c>
      <c r="E59" s="138" t="s">
        <v>199</v>
      </c>
      <c r="F59" s="78" t="s">
        <v>200</v>
      </c>
      <c r="G59" s="79">
        <f>SUM(ASOC.ESPAÑOLA:IAC!G59)</f>
        <v>1857385500.8299999</v>
      </c>
      <c r="H59" s="252"/>
      <c r="XFD59" s="252"/>
    </row>
    <row r="60" spans="2:8 16384:16384" ht="16.5" thickBot="1">
      <c r="B60" s="5"/>
      <c r="C60" s="85" t="s">
        <v>201</v>
      </c>
      <c r="D60" s="86">
        <f>SUM(D56:D59)</f>
        <v>-94279073.597498357</v>
      </c>
      <c r="E60" s="138" t="s">
        <v>202</v>
      </c>
      <c r="F60" s="78" t="s">
        <v>203</v>
      </c>
      <c r="G60" s="79">
        <f>SUM(ASOC.ESPAÑOLA:IAC!G60)</f>
        <v>454448654.27999997</v>
      </c>
      <c r="H60" s="252"/>
      <c r="XFD60" s="252"/>
    </row>
    <row r="61" spans="2:8 16384:16384" ht="16.5" thickBot="1">
      <c r="B61" s="15"/>
      <c r="C61" s="72" t="s">
        <v>204</v>
      </c>
      <c r="D61" s="103">
        <f>D53+D60</f>
        <v>99499383064.214874</v>
      </c>
      <c r="E61" s="138" t="s">
        <v>205</v>
      </c>
      <c r="F61" s="78" t="s">
        <v>206</v>
      </c>
      <c r="G61" s="79">
        <f>SUM(ASOC.ESPAÑOLA:IAC!G61)</f>
        <v>212496062.30999997</v>
      </c>
      <c r="H61" s="252"/>
      <c r="XFD61" s="252"/>
    </row>
    <row r="62" spans="2:8 16384:16384">
      <c r="B62" s="16"/>
      <c r="C62" s="116"/>
      <c r="D62" s="116"/>
      <c r="E62" s="138" t="s">
        <v>207</v>
      </c>
      <c r="F62" s="78" t="s">
        <v>208</v>
      </c>
      <c r="G62" s="79">
        <f>SUM(ASOC.ESPAÑOLA:IAC!G62)</f>
        <v>27753315</v>
      </c>
      <c r="H62" s="252"/>
      <c r="XFD62" s="252"/>
    </row>
    <row r="63" spans="2:8 16384:16384">
      <c r="B63" s="17"/>
      <c r="C63" s="222" t="s">
        <v>8</v>
      </c>
      <c r="D63" s="222"/>
      <c r="E63" s="138" t="s">
        <v>209</v>
      </c>
      <c r="F63" s="78" t="s">
        <v>210</v>
      </c>
      <c r="G63" s="79">
        <f>SUM(ASOC.ESPAÑOLA:IAC!G63)</f>
        <v>1303278141.47</v>
      </c>
      <c r="H63" s="252"/>
      <c r="XFD63" s="252"/>
    </row>
    <row r="64" spans="2:8 16384:16384">
      <c r="B64" s="18" t="s">
        <v>211</v>
      </c>
      <c r="C64" s="223" t="s">
        <v>212</v>
      </c>
      <c r="D64" s="223">
        <f>[37]Amortizaciones!D6</f>
        <v>5258062</v>
      </c>
      <c r="E64" s="138" t="s">
        <v>213</v>
      </c>
      <c r="F64" s="78" t="s">
        <v>214</v>
      </c>
      <c r="G64" s="79">
        <f>SUM(ASOC.ESPAÑOLA:IAC!G64)</f>
        <v>284940754.02000004</v>
      </c>
      <c r="H64" s="252"/>
      <c r="XFD64" s="252"/>
    </row>
    <row r="65" spans="2:8 16384:16384">
      <c r="B65" s="18" t="s">
        <v>215</v>
      </c>
      <c r="C65" s="223" t="s">
        <v>216</v>
      </c>
      <c r="D65" s="223">
        <f>[37]Amortizaciones!D7</f>
        <v>0</v>
      </c>
      <c r="E65" s="138" t="s">
        <v>217</v>
      </c>
      <c r="F65" s="78" t="s">
        <v>218</v>
      </c>
      <c r="G65" s="79">
        <f>SUM(ASOC.ESPAÑOLA:IAC!G65)</f>
        <v>321263971.62</v>
      </c>
      <c r="H65" s="252"/>
      <c r="XFD65" s="252"/>
    </row>
    <row r="66" spans="2:8 16384:16384">
      <c r="B66" s="18" t="s">
        <v>219</v>
      </c>
      <c r="C66" s="223" t="s">
        <v>220</v>
      </c>
      <c r="D66" s="223">
        <f>[37]Amortizaciones!D8</f>
        <v>3184099</v>
      </c>
      <c r="E66" s="138" t="s">
        <v>221</v>
      </c>
      <c r="F66" s="78" t="s">
        <v>222</v>
      </c>
      <c r="G66" s="79">
        <f>SUM(ASOC.ESPAÑOLA:IAC!G66)</f>
        <v>448321776.13999999</v>
      </c>
      <c r="H66" s="252"/>
      <c r="XFD66" s="252"/>
    </row>
    <row r="67" spans="2:8 16384:16384">
      <c r="B67" s="18" t="s">
        <v>223</v>
      </c>
      <c r="C67" s="223" t="s">
        <v>224</v>
      </c>
      <c r="D67" s="223">
        <f>[37]Amortizaciones!D9</f>
        <v>1491</v>
      </c>
      <c r="E67" s="138" t="s">
        <v>225</v>
      </c>
      <c r="F67" s="78" t="s">
        <v>226</v>
      </c>
      <c r="G67" s="79">
        <f>SUM(ASOC.ESPAÑOLA:IAC!G67)</f>
        <v>271750400.56</v>
      </c>
      <c r="H67" s="252"/>
      <c r="XFD67" s="252"/>
    </row>
    <row r="68" spans="2:8 16384:16384">
      <c r="B68" s="18" t="s">
        <v>227</v>
      </c>
      <c r="C68" s="223" t="s">
        <v>228</v>
      </c>
      <c r="D68" s="223">
        <f>[37]Amortizaciones!D10</f>
        <v>397989</v>
      </c>
      <c r="E68" s="138" t="s">
        <v>229</v>
      </c>
      <c r="F68" s="78" t="s">
        <v>230</v>
      </c>
      <c r="G68" s="79">
        <f>SUM(ASOC.ESPAÑOLA:IAC!G68)</f>
        <v>27116082.960000001</v>
      </c>
      <c r="H68" s="252"/>
      <c r="XFD68" s="252"/>
    </row>
    <row r="69" spans="2:8 16384:16384">
      <c r="B69" s="18" t="s">
        <v>231</v>
      </c>
      <c r="C69" s="223" t="s">
        <v>232</v>
      </c>
      <c r="D69" s="223">
        <f>[37]Amortizaciones!D11</f>
        <v>414709</v>
      </c>
      <c r="E69" s="138" t="s">
        <v>233</v>
      </c>
      <c r="F69" s="78" t="s">
        <v>234</v>
      </c>
      <c r="G69" s="79">
        <f>SUM(ASOC.ESPAÑOLA:IAC!G69)</f>
        <v>151587504.75999999</v>
      </c>
      <c r="H69" s="252"/>
      <c r="XFD69" s="252"/>
    </row>
    <row r="70" spans="2:8 16384:16384">
      <c r="B70" s="18" t="s">
        <v>235</v>
      </c>
      <c r="C70" s="223" t="s">
        <v>236</v>
      </c>
      <c r="D70" s="223">
        <f>[37]Amortizaciones!D12</f>
        <v>184278</v>
      </c>
      <c r="E70" s="138" t="s">
        <v>237</v>
      </c>
      <c r="F70" s="78" t="s">
        <v>238</v>
      </c>
      <c r="G70" s="79">
        <f>SUM(ASOC.ESPAÑOLA:IAC!G70)</f>
        <v>137158644.44999999</v>
      </c>
      <c r="H70" s="252"/>
      <c r="XFD70" s="252"/>
    </row>
    <row r="71" spans="2:8 16384:16384">
      <c r="B71" s="18" t="s">
        <v>239</v>
      </c>
      <c r="C71" s="223" t="s">
        <v>240</v>
      </c>
      <c r="D71" s="223">
        <f>[37]Amortizaciones!D13</f>
        <v>826164</v>
      </c>
      <c r="E71" s="138" t="s">
        <v>241</v>
      </c>
      <c r="F71" s="78" t="s">
        <v>242</v>
      </c>
      <c r="G71" s="79">
        <f>SUM(ASOC.ESPAÑOLA:IAC!G71)</f>
        <v>34560421.770000003</v>
      </c>
      <c r="H71" s="252"/>
      <c r="XFD71" s="252"/>
    </row>
    <row r="72" spans="2:8 16384:16384">
      <c r="B72" s="18" t="s">
        <v>243</v>
      </c>
      <c r="C72" s="223" t="s">
        <v>244</v>
      </c>
      <c r="D72" s="223">
        <f>[37]Amortizaciones!D14</f>
        <v>959221</v>
      </c>
      <c r="E72" s="138" t="s">
        <v>245</v>
      </c>
      <c r="F72" s="78" t="s">
        <v>246</v>
      </c>
      <c r="G72" s="79">
        <f>SUM(ASOC.ESPAÑOLA:IAC!G72)</f>
        <v>151715822.99000001</v>
      </c>
      <c r="H72" s="252"/>
      <c r="XFD72" s="252"/>
    </row>
    <row r="73" spans="2:8 16384:16384">
      <c r="B73" s="18" t="s">
        <v>247</v>
      </c>
      <c r="C73" s="223" t="s">
        <v>248</v>
      </c>
      <c r="D73" s="223">
        <f>[37]Amortizaciones!D15</f>
        <v>0</v>
      </c>
      <c r="E73" s="138" t="s">
        <v>249</v>
      </c>
      <c r="F73" s="78" t="s">
        <v>250</v>
      </c>
      <c r="G73" s="79">
        <f>SUM(ASOC.ESPAÑOLA:IAC!G73)</f>
        <v>83802789.780000001</v>
      </c>
      <c r="H73" s="252"/>
      <c r="XFD73" s="252"/>
    </row>
    <row r="74" spans="2:8 16384:16384">
      <c r="B74" s="18" t="s">
        <v>251</v>
      </c>
      <c r="C74" s="223" t="s">
        <v>252</v>
      </c>
      <c r="D74" s="223">
        <f>[37]Amortizaciones!D16</f>
        <v>397250</v>
      </c>
      <c r="E74" s="138" t="s">
        <v>253</v>
      </c>
      <c r="F74" s="78" t="s">
        <v>254</v>
      </c>
      <c r="G74" s="79">
        <f>SUM(ASOC.ESPAÑOLA:IAC!G74)</f>
        <v>87358462.189999998</v>
      </c>
      <c r="H74" s="252"/>
      <c r="XFD74" s="252"/>
    </row>
    <row r="75" spans="2:8 16384:16384">
      <c r="B75" s="18" t="s">
        <v>255</v>
      </c>
      <c r="C75" s="223" t="s">
        <v>256</v>
      </c>
      <c r="D75" s="223">
        <f>[37]Amortizaciones!D17</f>
        <v>0</v>
      </c>
      <c r="E75" s="138" t="s">
        <v>257</v>
      </c>
      <c r="F75" s="78" t="s">
        <v>258</v>
      </c>
      <c r="G75" s="79">
        <f>SUM(ASOC.ESPAÑOLA:IAC!G75)</f>
        <v>288151763.90999997</v>
      </c>
      <c r="H75" s="252"/>
      <c r="XFD75" s="252"/>
    </row>
    <row r="76" spans="2:8 16384:16384">
      <c r="B76" s="18" t="s">
        <v>259</v>
      </c>
      <c r="C76" s="223" t="s">
        <v>260</v>
      </c>
      <c r="D76" s="223">
        <f>[37]Amortizaciones!D18</f>
        <v>0</v>
      </c>
      <c r="E76" s="138" t="s">
        <v>261</v>
      </c>
      <c r="F76" s="78" t="s">
        <v>262</v>
      </c>
      <c r="G76" s="79">
        <f>SUM(ASOC.ESPAÑOLA:IAC!G76)</f>
        <v>1050829677.5999999</v>
      </c>
      <c r="H76" s="252"/>
      <c r="XFD76" s="252"/>
    </row>
    <row r="77" spans="2:8 16384:16384">
      <c r="B77" s="18" t="s">
        <v>263</v>
      </c>
      <c r="C77" s="223" t="s">
        <v>264</v>
      </c>
      <c r="D77" s="223">
        <f>SUM(D64:D76)</f>
        <v>11623263</v>
      </c>
      <c r="E77" s="138" t="s">
        <v>265</v>
      </c>
      <c r="F77" s="78" t="s">
        <v>266</v>
      </c>
      <c r="G77" s="79">
        <f>SUM(ASOC.ESPAÑOLA:IAC!G77)</f>
        <v>2797835795.7600002</v>
      </c>
      <c r="H77" s="252"/>
      <c r="XFD77" s="252"/>
    </row>
    <row r="78" spans="2:8 16384:16384">
      <c r="B78" s="18"/>
      <c r="C78" s="223"/>
      <c r="D78" s="223"/>
      <c r="E78" s="138" t="s">
        <v>267</v>
      </c>
      <c r="F78" s="78" t="s">
        <v>268</v>
      </c>
      <c r="G78" s="79">
        <f>SUM(ASOC.ESPAÑOLA:IAC!G78)</f>
        <v>434401700.85021102</v>
      </c>
      <c r="H78" s="252"/>
      <c r="XFD78" s="252"/>
    </row>
    <row r="79" spans="2:8 16384:16384" ht="16.5" thickBot="1">
      <c r="B79" s="18"/>
      <c r="C79" s="222" t="s">
        <v>269</v>
      </c>
      <c r="D79" s="224"/>
      <c r="E79" s="138"/>
      <c r="F79" s="85" t="s">
        <v>270</v>
      </c>
      <c r="G79" s="86">
        <f>SUM(G58:G78)</f>
        <v>13235789201.750212</v>
      </c>
      <c r="H79" s="252"/>
      <c r="XFD79" s="252"/>
    </row>
    <row r="80" spans="2:8 16384:16384">
      <c r="B80" s="18" t="s">
        <v>271</v>
      </c>
      <c r="C80" s="223" t="s">
        <v>236</v>
      </c>
      <c r="D80" s="223">
        <f>[37]Amortizaciones!D22</f>
        <v>0</v>
      </c>
      <c r="E80" s="138" t="s">
        <v>272</v>
      </c>
      <c r="F80" s="80" t="s">
        <v>273</v>
      </c>
      <c r="G80" s="79">
        <f>SUM(ASOC.ESPAÑOLA:IAC!G80)</f>
        <v>66578068.25250002</v>
      </c>
      <c r="H80" s="252"/>
      <c r="XFD80" s="252"/>
    </row>
    <row r="81" spans="2:8 16384:16384">
      <c r="B81" s="18" t="s">
        <v>274</v>
      </c>
      <c r="C81" s="223" t="s">
        <v>240</v>
      </c>
      <c r="D81" s="223">
        <f>[37]Amortizaciones!D23</f>
        <v>0</v>
      </c>
      <c r="E81" s="138" t="s">
        <v>275</v>
      </c>
      <c r="F81" s="78" t="s">
        <v>276</v>
      </c>
      <c r="G81" s="79">
        <f>SUM(ASOC.ESPAÑOLA:IAC!G81)</f>
        <v>604527154.55500007</v>
      </c>
      <c r="H81" s="252"/>
      <c r="XFD81" s="252"/>
    </row>
    <row r="82" spans="2:8 16384:16384">
      <c r="B82" s="18" t="s">
        <v>277</v>
      </c>
      <c r="C82" s="223" t="s">
        <v>244</v>
      </c>
      <c r="D82" s="223">
        <f>[37]Amortizaciones!D24</f>
        <v>0</v>
      </c>
      <c r="E82" s="138" t="s">
        <v>278</v>
      </c>
      <c r="F82" s="78" t="s">
        <v>279</v>
      </c>
      <c r="G82" s="79">
        <f>SUM(ASOC.ESPAÑOLA:IAC!G82)</f>
        <v>173288102.29100001</v>
      </c>
      <c r="H82" s="252"/>
      <c r="XFD82" s="252"/>
    </row>
    <row r="83" spans="2:8 16384:16384">
      <c r="B83" s="18" t="s">
        <v>280</v>
      </c>
      <c r="C83" s="223" t="s">
        <v>248</v>
      </c>
      <c r="D83" s="223">
        <f>[37]Amortizaciones!D25</f>
        <v>0</v>
      </c>
      <c r="E83" s="138" t="s">
        <v>281</v>
      </c>
      <c r="F83" s="78" t="s">
        <v>282</v>
      </c>
      <c r="G83" s="79">
        <f>SUM(ASOC.ESPAÑOLA:IAC!G83)</f>
        <v>157401483.0025</v>
      </c>
      <c r="H83" s="252"/>
      <c r="XFD83" s="252"/>
    </row>
    <row r="84" spans="2:8 16384:16384">
      <c r="B84" s="18" t="s">
        <v>283</v>
      </c>
      <c r="C84" s="223" t="s">
        <v>284</v>
      </c>
      <c r="D84" s="223">
        <v>0</v>
      </c>
      <c r="E84" s="138" t="s">
        <v>285</v>
      </c>
      <c r="F84" s="78" t="s">
        <v>286</v>
      </c>
      <c r="G84" s="79">
        <f>SUM(ASOC.ESPAÑOLA:IAC!G84)</f>
        <v>444690520.94499999</v>
      </c>
      <c r="H84" s="252"/>
      <c r="XFD84" s="252"/>
    </row>
    <row r="85" spans="2:8 16384:16384">
      <c r="B85" s="18" t="s">
        <v>287</v>
      </c>
      <c r="C85" s="223" t="s">
        <v>288</v>
      </c>
      <c r="D85" s="223">
        <f>[37]Amortizaciones!D27</f>
        <v>0</v>
      </c>
      <c r="E85" s="138" t="s">
        <v>289</v>
      </c>
      <c r="F85" s="78" t="s">
        <v>290</v>
      </c>
      <c r="G85" s="79">
        <f>SUM(ASOC.ESPAÑOLA:IAC!G85)</f>
        <v>215098863.07500002</v>
      </c>
      <c r="H85" s="252"/>
      <c r="XFD85" s="252"/>
    </row>
    <row r="86" spans="2:8 16384:16384" ht="13.5" customHeight="1">
      <c r="B86" s="18" t="s">
        <v>291</v>
      </c>
      <c r="C86" s="223" t="s">
        <v>292</v>
      </c>
      <c r="D86" s="223">
        <f>[37]Amortizaciones!D28</f>
        <v>0</v>
      </c>
      <c r="E86" s="138" t="s">
        <v>293</v>
      </c>
      <c r="F86" s="78" t="s">
        <v>294</v>
      </c>
      <c r="G86" s="79">
        <f>SUM(ASOC.ESPAÑOLA:IAC!G86)</f>
        <v>56831152.975000001</v>
      </c>
      <c r="H86" s="252"/>
      <c r="XFD86" s="252"/>
    </row>
    <row r="87" spans="2:8 16384:16384" ht="13.5" customHeight="1">
      <c r="B87" s="18" t="s">
        <v>295</v>
      </c>
      <c r="C87" s="223" t="s">
        <v>296</v>
      </c>
      <c r="D87" s="223">
        <f>[37]Amortizaciones!D29</f>
        <v>0</v>
      </c>
      <c r="E87" s="138" t="s">
        <v>297</v>
      </c>
      <c r="F87" s="78" t="s">
        <v>298</v>
      </c>
      <c r="G87" s="79">
        <f>SUM(ASOC.ESPAÑOLA:IAC!G87)</f>
        <v>178764176.30499998</v>
      </c>
      <c r="H87" s="252"/>
      <c r="XFD87" s="252"/>
    </row>
    <row r="88" spans="2:8 16384:16384" ht="13.5" customHeight="1">
      <c r="B88" s="18" t="s">
        <v>299</v>
      </c>
      <c r="C88" s="223" t="s">
        <v>300</v>
      </c>
      <c r="D88" s="223">
        <f>[37]Amortizaciones!D30</f>
        <v>0</v>
      </c>
      <c r="E88" s="138" t="s">
        <v>301</v>
      </c>
      <c r="F88" s="78" t="s">
        <v>302</v>
      </c>
      <c r="G88" s="79">
        <f>SUM(ASOC.ESPAÑOLA:IAC!G88)</f>
        <v>92406538.715000004</v>
      </c>
      <c r="H88" s="252"/>
      <c r="XFD88" s="252"/>
    </row>
    <row r="89" spans="2:8 16384:16384">
      <c r="B89" s="18" t="s">
        <v>303</v>
      </c>
      <c r="C89" s="223" t="s">
        <v>212</v>
      </c>
      <c r="D89" s="223">
        <f>[37]Amortizaciones!D31</f>
        <v>0</v>
      </c>
      <c r="E89" s="138" t="s">
        <v>304</v>
      </c>
      <c r="F89" s="78" t="s">
        <v>305</v>
      </c>
      <c r="G89" s="79">
        <f>SUM(ASOC.ESPAÑOLA:IAC!G89)</f>
        <v>891805038.24000025</v>
      </c>
      <c r="H89" s="252"/>
      <c r="XFD89" s="252"/>
    </row>
    <row r="90" spans="2:8 16384:16384" ht="14.25" customHeight="1">
      <c r="B90" s="18" t="s">
        <v>306</v>
      </c>
      <c r="C90" s="223" t="s">
        <v>228</v>
      </c>
      <c r="D90" s="223">
        <f>[37]Amortizaciones!D32</f>
        <v>0</v>
      </c>
      <c r="E90" s="138" t="s">
        <v>307</v>
      </c>
      <c r="F90" s="78" t="s">
        <v>308</v>
      </c>
      <c r="G90" s="79">
        <f>SUM(ASOC.ESPAÑOLA:IAC!G90)</f>
        <v>135332587.33999997</v>
      </c>
      <c r="H90" s="252"/>
      <c r="XFD90" s="252"/>
    </row>
    <row r="91" spans="2:8 16384:16384" ht="14.25" customHeight="1">
      <c r="B91" s="18" t="s">
        <v>309</v>
      </c>
      <c r="C91" s="223" t="s">
        <v>310</v>
      </c>
      <c r="D91" s="223">
        <f>SUM(D80:D90)</f>
        <v>0</v>
      </c>
      <c r="E91" s="225" t="s">
        <v>311</v>
      </c>
      <c r="F91" s="78" t="s">
        <v>312</v>
      </c>
      <c r="G91" s="79">
        <f>SUM(ASOC.ESPAÑOLA:IAC!G91)</f>
        <v>41900683.240000002</v>
      </c>
      <c r="H91" s="252"/>
      <c r="XFD91" s="252"/>
    </row>
    <row r="92" spans="2:8 16384:16384" ht="14.25" customHeight="1">
      <c r="B92" s="18"/>
      <c r="C92" s="226" t="s">
        <v>313</v>
      </c>
      <c r="D92" s="223">
        <f>D77+D91</f>
        <v>11623263</v>
      </c>
      <c r="E92" s="225" t="s">
        <v>314</v>
      </c>
      <c r="F92" s="78" t="s">
        <v>315</v>
      </c>
      <c r="G92" s="79">
        <f>SUM(ASOC.ESPAÑOLA:IAC!G92)</f>
        <v>2096658.8599999999</v>
      </c>
      <c r="H92" s="252"/>
      <c r="XFD92" s="252"/>
    </row>
    <row r="93" spans="2:8 16384:16384">
      <c r="C93" s="116"/>
      <c r="D93" s="116"/>
      <c r="E93" s="225" t="s">
        <v>316</v>
      </c>
      <c r="F93" s="78" t="s">
        <v>317</v>
      </c>
      <c r="G93" s="79">
        <f>SUM(ASOC.ESPAÑOLA:IAC!G93)</f>
        <v>492295972.48750001</v>
      </c>
      <c r="H93" s="252"/>
      <c r="XFD93" s="252"/>
    </row>
    <row r="94" spans="2:8 16384:16384">
      <c r="C94" s="116"/>
      <c r="D94" s="116"/>
      <c r="E94" s="225" t="s">
        <v>318</v>
      </c>
      <c r="F94" s="78" t="s">
        <v>319</v>
      </c>
      <c r="G94" s="79">
        <f>SUM(ASOC.ESPAÑOLA:IAC!G94)</f>
        <v>116683109.16136697</v>
      </c>
      <c r="H94" s="252"/>
      <c r="XFD94" s="252"/>
    </row>
    <row r="95" spans="2:8 16384:16384" ht="13.5" customHeight="1" thickBot="1">
      <c r="C95" s="116"/>
      <c r="D95" s="116"/>
      <c r="E95" s="138"/>
      <c r="F95" s="85" t="s">
        <v>320</v>
      </c>
      <c r="G95" s="86">
        <f>SUM(G80:G94)</f>
        <v>3669700109.4448671</v>
      </c>
      <c r="H95" s="252"/>
      <c r="XFD95" s="252"/>
    </row>
    <row r="96" spans="2:8 16384:16384">
      <c r="C96" s="116"/>
      <c r="D96" s="116"/>
      <c r="E96" s="225" t="s">
        <v>321</v>
      </c>
      <c r="F96" s="80" t="s">
        <v>322</v>
      </c>
      <c r="G96" s="79">
        <f>SUM(ASOC.ESPAÑOLA:IAC!G96)</f>
        <v>335413314.54999995</v>
      </c>
      <c r="H96" s="252"/>
      <c r="XFD96" s="252"/>
    </row>
    <row r="97" spans="2:8 16384:16384">
      <c r="C97" s="116"/>
      <c r="D97" s="116"/>
      <c r="E97" s="225" t="s">
        <v>323</v>
      </c>
      <c r="F97" s="78" t="s">
        <v>324</v>
      </c>
      <c r="G97" s="79">
        <f>SUM(ASOC.ESPAÑOLA:IAC!G97)</f>
        <v>263117817.54999998</v>
      </c>
      <c r="H97" s="252"/>
      <c r="XFD97" s="252"/>
    </row>
    <row r="98" spans="2:8 16384:16384">
      <c r="C98" s="116"/>
      <c r="D98" s="116"/>
      <c r="E98" s="225" t="s">
        <v>325</v>
      </c>
      <c r="F98" s="78" t="s">
        <v>326</v>
      </c>
      <c r="G98" s="79">
        <f>SUM(ASOC.ESPAÑOLA:IAC!G98)</f>
        <v>37859537.329999998</v>
      </c>
      <c r="H98" s="252"/>
      <c r="XFD98" s="252"/>
    </row>
    <row r="99" spans="2:8 16384:16384">
      <c r="C99" s="116"/>
      <c r="D99" s="116"/>
      <c r="E99" s="225" t="s">
        <v>327</v>
      </c>
      <c r="F99" s="78" t="s">
        <v>328</v>
      </c>
      <c r="G99" s="79">
        <f>SUM(ASOC.ESPAÑOLA:IAC!G99)</f>
        <v>231788473.11000001</v>
      </c>
      <c r="H99" s="252"/>
      <c r="XFD99" s="252"/>
    </row>
    <row r="100" spans="2:8 16384:16384">
      <c r="C100" s="116"/>
      <c r="D100" s="116"/>
      <c r="E100" s="225" t="s">
        <v>329</v>
      </c>
      <c r="F100" s="78" t="s">
        <v>330</v>
      </c>
      <c r="G100" s="79">
        <f>SUM(ASOC.ESPAÑOLA:IAC!G100)</f>
        <v>29705049.939999998</v>
      </c>
      <c r="H100" s="252"/>
      <c r="XFD100" s="252"/>
    </row>
    <row r="101" spans="2:8 16384:16384" ht="12.75" customHeight="1" thickBot="1">
      <c r="C101" s="116"/>
      <c r="D101" s="116"/>
      <c r="E101" s="138"/>
      <c r="F101" s="85" t="s">
        <v>331</v>
      </c>
      <c r="G101" s="86">
        <f>SUM(G96:G100)</f>
        <v>897884192.48000002</v>
      </c>
      <c r="H101" s="252"/>
      <c r="XFD101" s="252"/>
    </row>
    <row r="102" spans="2:8 16384:16384" ht="12.75" customHeight="1" thickBot="1">
      <c r="C102" s="116"/>
      <c r="D102" s="116"/>
      <c r="E102" s="225"/>
      <c r="F102" s="110" t="s">
        <v>332</v>
      </c>
      <c r="G102" s="248">
        <f>SUM(ASOC.ESPAÑOLA:IAC!G102)</f>
        <v>1694297640.6399999</v>
      </c>
      <c r="H102" s="252"/>
      <c r="XFD102" s="252"/>
    </row>
    <row r="103" spans="2:8 16384:16384">
      <c r="C103" s="116"/>
      <c r="D103" s="116"/>
      <c r="E103" s="225" t="s">
        <v>333</v>
      </c>
      <c r="F103" s="78" t="s">
        <v>334</v>
      </c>
      <c r="G103" s="82">
        <f>SUM(ASOC.ESPAÑOLA:IAC!G103)</f>
        <v>4190528</v>
      </c>
      <c r="H103" s="252"/>
      <c r="XFD103" s="252"/>
    </row>
    <row r="104" spans="2:8 16384:16384">
      <c r="C104" s="116"/>
      <c r="D104" s="116"/>
      <c r="E104" s="225" t="s">
        <v>335</v>
      </c>
      <c r="F104" s="112" t="s">
        <v>336</v>
      </c>
      <c r="G104" s="79">
        <f>SUM(ASOC.ESPAÑOLA:IAC!G104)</f>
        <v>156044</v>
      </c>
      <c r="H104" s="252"/>
      <c r="XFD104" s="252"/>
    </row>
    <row r="105" spans="2:8 16384:16384" ht="14.25" customHeight="1" thickBot="1">
      <c r="C105" s="116"/>
      <c r="D105" s="116"/>
      <c r="E105" s="138"/>
      <c r="F105" s="85" t="s">
        <v>337</v>
      </c>
      <c r="G105" s="86">
        <f>SUM(G103:G104)</f>
        <v>4346572</v>
      </c>
      <c r="H105" s="252"/>
      <c r="XFD105" s="252"/>
    </row>
    <row r="106" spans="2:8 16384:16384" ht="14.25" customHeight="1" thickBot="1">
      <c r="B106" s="5"/>
      <c r="C106" s="227"/>
      <c r="D106" s="227"/>
      <c r="E106" s="225"/>
      <c r="F106" s="72" t="s">
        <v>338</v>
      </c>
      <c r="G106" s="103">
        <f>G19+G27+G32+G48+G57+G79+G95+G101+G102+G105</f>
        <v>91434813872.111893</v>
      </c>
      <c r="H106" s="252"/>
      <c r="XFD106" s="252"/>
    </row>
    <row r="107" spans="2:8 16384:16384" ht="5.25" customHeight="1">
      <c r="B107" s="5"/>
      <c r="C107" s="227"/>
      <c r="D107" s="227"/>
      <c r="E107" s="138"/>
      <c r="F107" s="114"/>
      <c r="G107" s="115"/>
      <c r="H107" s="252"/>
      <c r="XFD107" s="252"/>
    </row>
    <row r="108" spans="2:8 16384:16384" ht="5.25" customHeight="1" thickBot="1">
      <c r="B108" s="5"/>
      <c r="C108" s="227"/>
      <c r="D108" s="227"/>
      <c r="E108" s="138"/>
      <c r="F108" s="116"/>
      <c r="G108" s="116"/>
      <c r="H108" s="252"/>
      <c r="XFD108" s="252"/>
    </row>
    <row r="109" spans="2:8 16384:16384" ht="16.5" customHeight="1" thickBot="1">
      <c r="B109" s="5"/>
      <c r="C109" s="227"/>
      <c r="D109" s="227"/>
      <c r="E109" s="138"/>
      <c r="F109" s="72" t="s">
        <v>339</v>
      </c>
      <c r="G109" s="103">
        <f>D61-G106</f>
        <v>8064569192.1029816</v>
      </c>
      <c r="H109" s="252"/>
      <c r="XFD109" s="252"/>
    </row>
    <row r="110" spans="2:8 16384:16384" ht="6.75" customHeight="1" thickBot="1">
      <c r="B110" s="5"/>
      <c r="C110" s="227"/>
      <c r="D110" s="227"/>
      <c r="E110" s="138"/>
      <c r="F110" s="116"/>
      <c r="G110" s="116"/>
      <c r="H110" s="252"/>
      <c r="XFD110" s="252"/>
    </row>
    <row r="111" spans="2:8 16384:16384" ht="15" customHeight="1" thickBot="1">
      <c r="C111" s="72" t="s">
        <v>269</v>
      </c>
      <c r="D111" s="118">
        <f>+[37]E.S.P.!D6</f>
        <v>2021</v>
      </c>
      <c r="E111" s="225"/>
      <c r="F111" s="72" t="s">
        <v>340</v>
      </c>
      <c r="G111" s="118">
        <f>+[37]E.S.P.!D6</f>
        <v>2021</v>
      </c>
      <c r="H111" s="252"/>
      <c r="XFD111" s="252"/>
    </row>
    <row r="112" spans="2:8 16384:16384" ht="13.7" customHeight="1">
      <c r="B112" s="5" t="s">
        <v>341</v>
      </c>
      <c r="C112" s="119" t="s">
        <v>342</v>
      </c>
      <c r="D112" s="79">
        <f>SUM(ASOC.ESPAÑOLA:IAC!D112)</f>
        <v>405346099.52189863</v>
      </c>
      <c r="E112" s="138" t="s">
        <v>343</v>
      </c>
      <c r="F112" s="119" t="s">
        <v>308</v>
      </c>
      <c r="G112" s="79">
        <f>SUM(ASOC.ESPAÑOLA:IAC!G112)</f>
        <v>11093297</v>
      </c>
      <c r="H112" s="252"/>
      <c r="XFD112" s="252"/>
    </row>
    <row r="113" spans="2:8 16384:16384" ht="13.7" customHeight="1">
      <c r="B113" s="5" t="s">
        <v>344</v>
      </c>
      <c r="C113" s="121" t="s">
        <v>345</v>
      </c>
      <c r="D113" s="79">
        <f>SUM(ASOC.ESPAÑOLA:IAC!D113)</f>
        <v>3189735229.916441</v>
      </c>
      <c r="E113" s="138" t="s">
        <v>346</v>
      </c>
      <c r="F113" s="121" t="s">
        <v>347</v>
      </c>
      <c r="G113" s="79">
        <f>SUM(ASOC.ESPAÑOLA:IAC!G113)</f>
        <v>0</v>
      </c>
      <c r="H113" s="252"/>
      <c r="XFD113" s="252"/>
    </row>
    <row r="114" spans="2:8 16384:16384" ht="13.7" customHeight="1">
      <c r="B114" s="5" t="s">
        <v>348</v>
      </c>
      <c r="C114" s="121" t="s">
        <v>48</v>
      </c>
      <c r="D114" s="79">
        <f>SUM(ASOC.ESPAÑOLA:IAC!D114)</f>
        <v>112048191.72166006</v>
      </c>
      <c r="E114" s="138" t="s">
        <v>349</v>
      </c>
      <c r="F114" s="121" t="s">
        <v>350</v>
      </c>
      <c r="G114" s="79">
        <f>SUM(ASOC.ESPAÑOLA:IAC!G114)</f>
        <v>374173626.13</v>
      </c>
      <c r="H114" s="252"/>
      <c r="XFD114" s="252"/>
    </row>
    <row r="115" spans="2:8 16384:16384" ht="13.7" customHeight="1">
      <c r="B115" s="5" t="s">
        <v>351</v>
      </c>
      <c r="C115" s="121" t="s">
        <v>352</v>
      </c>
      <c r="D115" s="79">
        <f>SUM(ASOC.ESPAÑOLA:IAC!D115)</f>
        <v>18353845.350000001</v>
      </c>
      <c r="E115" s="138" t="s">
        <v>353</v>
      </c>
      <c r="F115" s="121" t="s">
        <v>354</v>
      </c>
      <c r="G115" s="79">
        <f>SUM(ASOC.ESPAÑOLA:IAC!G115)</f>
        <v>59135193.119999997</v>
      </c>
      <c r="H115" s="252"/>
      <c r="XFD115" s="252"/>
    </row>
    <row r="116" spans="2:8 16384:16384" ht="13.7" customHeight="1">
      <c r="B116" s="5" t="s">
        <v>355</v>
      </c>
      <c r="C116" s="121" t="s">
        <v>356</v>
      </c>
      <c r="D116" s="79">
        <f>SUM(ASOC.ESPAÑOLA:IAC!D116)</f>
        <v>153886299.06999999</v>
      </c>
      <c r="E116" s="138" t="s">
        <v>357</v>
      </c>
      <c r="F116" s="121" t="s">
        <v>358</v>
      </c>
      <c r="G116" s="79">
        <f>SUM(ASOC.ESPAÑOLA:IAC!G116)</f>
        <v>166108428.33000001</v>
      </c>
      <c r="H116" s="252"/>
      <c r="XFD116" s="252"/>
    </row>
    <row r="117" spans="2:8 16384:16384" ht="13.7" customHeight="1">
      <c r="B117" s="5" t="s">
        <v>359</v>
      </c>
      <c r="C117" s="121" t="s">
        <v>360</v>
      </c>
      <c r="D117" s="79">
        <f>SUM(ASOC.ESPAÑOLA:IAC!D117)</f>
        <v>9539716.5099999998</v>
      </c>
      <c r="E117" s="138" t="s">
        <v>361</v>
      </c>
      <c r="F117" s="121" t="s">
        <v>362</v>
      </c>
      <c r="G117" s="79">
        <f>SUM(ASOC.ESPAÑOLA:IAC!G117)</f>
        <v>10103770.869999999</v>
      </c>
      <c r="H117" s="252"/>
      <c r="XFD117" s="252"/>
    </row>
    <row r="118" spans="2:8 16384:16384" ht="13.7" customHeight="1">
      <c r="B118" s="5" t="s">
        <v>363</v>
      </c>
      <c r="C118" s="121" t="s">
        <v>364</v>
      </c>
      <c r="D118" s="79">
        <f>SUM(ASOC.ESPAÑOLA:IAC!D118)</f>
        <v>1004910</v>
      </c>
      <c r="E118" s="138" t="s">
        <v>365</v>
      </c>
      <c r="F118" s="121" t="s">
        <v>366</v>
      </c>
      <c r="G118" s="79">
        <f>SUM(ASOC.ESPAÑOLA:IAC!G118)</f>
        <v>2584408</v>
      </c>
      <c r="H118" s="252"/>
      <c r="XFD118" s="252"/>
    </row>
    <row r="119" spans="2:8 16384:16384" ht="13.7" customHeight="1">
      <c r="B119" s="5" t="s">
        <v>367</v>
      </c>
      <c r="C119" s="121" t="s">
        <v>368</v>
      </c>
      <c r="D119" s="79">
        <f>SUM(ASOC.ESPAÑOLA:IAC!D119)</f>
        <v>30709279.220000003</v>
      </c>
      <c r="E119" s="138" t="s">
        <v>369</v>
      </c>
      <c r="F119" s="121" t="s">
        <v>370</v>
      </c>
      <c r="G119" s="79">
        <f>SUM(ASOC.ESPAÑOLA:IAC!G119)</f>
        <v>8186449</v>
      </c>
      <c r="H119" s="252"/>
      <c r="XFD119" s="252"/>
    </row>
    <row r="120" spans="2:8 16384:16384" ht="13.7" customHeight="1">
      <c r="B120" s="5" t="s">
        <v>371</v>
      </c>
      <c r="C120" s="121" t="s">
        <v>372</v>
      </c>
      <c r="D120" s="79">
        <f>SUM(ASOC.ESPAÑOLA:IAC!D120)</f>
        <v>13764875</v>
      </c>
      <c r="E120" s="138" t="s">
        <v>373</v>
      </c>
      <c r="F120" s="121" t="s">
        <v>374</v>
      </c>
      <c r="G120" s="79">
        <f>SUM(ASOC.ESPAÑOLA:IAC!G120)</f>
        <v>0</v>
      </c>
      <c r="H120" s="252"/>
      <c r="XFD120" s="252"/>
    </row>
    <row r="121" spans="2:8 16384:16384" ht="13.7" customHeight="1">
      <c r="B121" s="5" t="s">
        <v>375</v>
      </c>
      <c r="C121" s="78" t="s">
        <v>376</v>
      </c>
      <c r="D121" s="79">
        <f>SUM(ASOC.ESPAÑOLA:IAC!D121)</f>
        <v>140832682.41995937</v>
      </c>
      <c r="E121" s="138" t="s">
        <v>377</v>
      </c>
      <c r="F121" s="121" t="s">
        <v>378</v>
      </c>
      <c r="G121" s="79">
        <f>SUM(ASOC.ESPAÑOLA:IAC!G121)</f>
        <v>298142727.38</v>
      </c>
      <c r="H121" s="252"/>
      <c r="XFD121" s="252"/>
    </row>
    <row r="122" spans="2:8 16384:16384" ht="13.7" customHeight="1" thickBot="1">
      <c r="B122" s="5"/>
      <c r="C122" s="85" t="s">
        <v>379</v>
      </c>
      <c r="D122" s="94">
        <f>SUM(D112:D121)</f>
        <v>4075221128.7299595</v>
      </c>
      <c r="E122" s="138" t="s">
        <v>380</v>
      </c>
      <c r="F122" s="78" t="s">
        <v>381</v>
      </c>
      <c r="G122" s="79">
        <f>SUM(ASOC.ESPAÑOLA:IAC!G122)</f>
        <v>35255131.5</v>
      </c>
      <c r="H122" s="252"/>
      <c r="XFD122" s="252"/>
    </row>
    <row r="123" spans="2:8 16384:16384" ht="13.7" customHeight="1" thickBot="1">
      <c r="B123" s="5" t="s">
        <v>382</v>
      </c>
      <c r="C123" s="123" t="s">
        <v>308</v>
      </c>
      <c r="D123" s="79">
        <f>SUM(ASOC.ESPAÑOLA:IAC!D123)</f>
        <v>144585129.80000001</v>
      </c>
      <c r="E123" s="225"/>
      <c r="F123" s="85" t="s">
        <v>383</v>
      </c>
      <c r="G123" s="94">
        <f>SUM(G112:G122)</f>
        <v>964783031.33000004</v>
      </c>
      <c r="H123" s="252"/>
      <c r="XFD123" s="252"/>
    </row>
    <row r="124" spans="2:8 16384:16384" ht="13.7" customHeight="1">
      <c r="B124" s="5" t="s">
        <v>384</v>
      </c>
      <c r="C124" s="121" t="s">
        <v>312</v>
      </c>
      <c r="D124" s="79">
        <f>SUM(ASOC.ESPAÑOLA:IAC!D124)</f>
        <v>463546950.25</v>
      </c>
      <c r="E124" s="138" t="s">
        <v>385</v>
      </c>
      <c r="F124" s="121" t="s">
        <v>386</v>
      </c>
      <c r="G124" s="79">
        <f>SUM(ASOC.ESPAÑOLA:IAC!G124)</f>
        <v>187906861.59</v>
      </c>
      <c r="H124" s="252"/>
      <c r="XFD124" s="252"/>
    </row>
    <row r="125" spans="2:8 16384:16384" ht="13.7" customHeight="1">
      <c r="B125" s="5" t="s">
        <v>387</v>
      </c>
      <c r="C125" s="78" t="s">
        <v>388</v>
      </c>
      <c r="D125" s="79">
        <f>SUM(ASOC.ESPAÑOLA:IAC!D125)</f>
        <v>24595112.223432131</v>
      </c>
      <c r="E125" s="138" t="s">
        <v>389</v>
      </c>
      <c r="F125" s="121" t="s">
        <v>390</v>
      </c>
      <c r="G125" s="79">
        <f>SUM(ASOC.ESPAÑOLA:IAC!G125)</f>
        <v>9741542.7999999989</v>
      </c>
      <c r="H125" s="252"/>
      <c r="XFD125" s="252"/>
    </row>
    <row r="126" spans="2:8 16384:16384" ht="13.7" customHeight="1" thickBot="1">
      <c r="B126" s="5"/>
      <c r="C126" s="85" t="s">
        <v>391</v>
      </c>
      <c r="D126" s="94">
        <f>SUM(D123:D125)</f>
        <v>632727192.27343214</v>
      </c>
      <c r="E126" s="138" t="s">
        <v>392</v>
      </c>
      <c r="F126" s="121" t="s">
        <v>393</v>
      </c>
      <c r="G126" s="79">
        <f>SUM(ASOC.ESPAÑOLA:IAC!G126)</f>
        <v>167277966.28</v>
      </c>
      <c r="H126" s="252"/>
      <c r="XFD126" s="252"/>
    </row>
    <row r="127" spans="2:8 16384:16384" ht="13.7" customHeight="1">
      <c r="B127" s="5" t="s">
        <v>394</v>
      </c>
      <c r="C127" s="119" t="s">
        <v>273</v>
      </c>
      <c r="D127" s="79">
        <f>SUM(ASOC.ESPAÑOLA:IAC!D127)</f>
        <v>145764689.73749998</v>
      </c>
      <c r="E127" s="138" t="s">
        <v>395</v>
      </c>
      <c r="F127" s="121" t="s">
        <v>396</v>
      </c>
      <c r="G127" s="79">
        <f>SUM(ASOC.ESPAÑOLA:IAC!G127)</f>
        <v>146967</v>
      </c>
      <c r="H127" s="252"/>
      <c r="XFD127" s="252"/>
    </row>
    <row r="128" spans="2:8 16384:16384" ht="13.7" customHeight="1">
      <c r="B128" s="5" t="s">
        <v>397</v>
      </c>
      <c r="C128" s="121" t="s">
        <v>398</v>
      </c>
      <c r="D128" s="79">
        <f>SUM(ASOC.ESPAÑOLA:IAC!D128)</f>
        <v>95145489.142499998</v>
      </c>
      <c r="E128" s="138" t="s">
        <v>399</v>
      </c>
      <c r="F128" s="121" t="s">
        <v>400</v>
      </c>
      <c r="G128" s="79">
        <f>SUM(ASOC.ESPAÑOLA:IAC!G128)</f>
        <v>17198182</v>
      </c>
      <c r="H128" s="252"/>
      <c r="XFD128" s="252"/>
    </row>
    <row r="129" spans="2:8 16384:16384" ht="13.7" customHeight="1">
      <c r="B129" s="5" t="s">
        <v>401</v>
      </c>
      <c r="C129" s="121" t="s">
        <v>276</v>
      </c>
      <c r="D129" s="79">
        <f>SUM(ASOC.ESPAÑOLA:IAC!D129)</f>
        <v>34046475.564999998</v>
      </c>
      <c r="E129" s="138" t="s">
        <v>402</v>
      </c>
      <c r="F129" s="121" t="s">
        <v>403</v>
      </c>
      <c r="G129" s="79">
        <f>SUM(ASOC.ESPAÑOLA:IAC!G129)</f>
        <v>103826134.30000001</v>
      </c>
      <c r="H129" s="252"/>
      <c r="XFD129" s="252"/>
    </row>
    <row r="130" spans="2:8 16384:16384" ht="13.7" customHeight="1">
      <c r="B130" s="5" t="s">
        <v>404</v>
      </c>
      <c r="C130" s="121" t="s">
        <v>282</v>
      </c>
      <c r="D130" s="79">
        <f>SUM(ASOC.ESPAÑOLA:IAC!D130)</f>
        <v>9429808.3875000011</v>
      </c>
      <c r="E130" s="138" t="s">
        <v>405</v>
      </c>
      <c r="F130" s="121" t="s">
        <v>406</v>
      </c>
      <c r="G130" s="79">
        <f>SUM(ASOC.ESPAÑOLA:IAC!G130)</f>
        <v>0</v>
      </c>
      <c r="H130" s="252"/>
      <c r="XFD130" s="252"/>
    </row>
    <row r="131" spans="2:8 16384:16384" ht="13.7" customHeight="1">
      <c r="B131" s="5" t="s">
        <v>407</v>
      </c>
      <c r="C131" s="121" t="s">
        <v>286</v>
      </c>
      <c r="D131" s="79">
        <f>SUM(ASOC.ESPAÑOLA:IAC!D131)</f>
        <v>25407329.665000003</v>
      </c>
      <c r="E131" s="138" t="s">
        <v>408</v>
      </c>
      <c r="F131" s="121" t="s">
        <v>409</v>
      </c>
      <c r="G131" s="79">
        <f>SUM(ASOC.ESPAÑOLA:IAC!G131)</f>
        <v>5593373.7999999998</v>
      </c>
      <c r="H131" s="252"/>
      <c r="XFD131" s="252"/>
    </row>
    <row r="132" spans="2:8 16384:16384" ht="13.7" customHeight="1">
      <c r="B132" s="5" t="s">
        <v>410</v>
      </c>
      <c r="C132" s="121" t="s">
        <v>290</v>
      </c>
      <c r="D132" s="79">
        <f>SUM(ASOC.ESPAÑOLA:IAC!D132)</f>
        <v>63833010.614999995</v>
      </c>
      <c r="E132" s="138" t="s">
        <v>411</v>
      </c>
      <c r="F132" s="121" t="s">
        <v>412</v>
      </c>
      <c r="G132" s="79">
        <f>SUM(ASOC.ESPAÑOLA:IAC!G132)</f>
        <v>29649108</v>
      </c>
      <c r="H132" s="252"/>
      <c r="XFD132" s="252"/>
    </row>
    <row r="133" spans="2:8 16384:16384" ht="13.7" customHeight="1">
      <c r="B133" s="5" t="s">
        <v>413</v>
      </c>
      <c r="C133" s="121" t="s">
        <v>294</v>
      </c>
      <c r="D133" s="79">
        <f>SUM(ASOC.ESPAÑOLA:IAC!D133)</f>
        <v>13021476.525</v>
      </c>
      <c r="E133" s="138" t="s">
        <v>414</v>
      </c>
      <c r="F133" s="121" t="s">
        <v>415</v>
      </c>
      <c r="G133" s="79">
        <f>SUM(ASOC.ESPAÑOLA:IAC!G133)</f>
        <v>140367984</v>
      </c>
      <c r="H133" s="252"/>
      <c r="XFD133" s="252"/>
    </row>
    <row r="134" spans="2:8 16384:16384" ht="13.7" customHeight="1">
      <c r="B134" s="5" t="s">
        <v>416</v>
      </c>
      <c r="C134" s="121" t="s">
        <v>417</v>
      </c>
      <c r="D134" s="79">
        <f>SUM(ASOC.ESPAÑOLA:IAC!D134)</f>
        <v>250027833.97999999</v>
      </c>
      <c r="E134" s="138" t="s">
        <v>418</v>
      </c>
      <c r="F134" s="121" t="s">
        <v>419</v>
      </c>
      <c r="G134" s="79">
        <f>SUM(ASOC.ESPAÑOLA:IAC!G134)</f>
        <v>18869816.079999998</v>
      </c>
      <c r="H134" s="252"/>
      <c r="XFD134" s="252"/>
    </row>
    <row r="135" spans="2:8 16384:16384" ht="13.7" customHeight="1">
      <c r="B135" s="5" t="s">
        <v>420</v>
      </c>
      <c r="C135" s="121" t="s">
        <v>421</v>
      </c>
      <c r="D135" s="79">
        <f>SUM(ASOC.ESPAÑOLA:IAC!D135)</f>
        <v>410462314.70999998</v>
      </c>
      <c r="E135" s="138" t="s">
        <v>422</v>
      </c>
      <c r="F135" s="121" t="s">
        <v>423</v>
      </c>
      <c r="G135" s="79">
        <f>SUM(ASOC.ESPAÑOLA:IAC!G135)</f>
        <v>4976259</v>
      </c>
      <c r="H135" s="252"/>
      <c r="XFD135" s="252"/>
    </row>
    <row r="136" spans="2:8 16384:16384" ht="13.7" customHeight="1">
      <c r="B136" s="5" t="s">
        <v>424</v>
      </c>
      <c r="C136" s="121" t="s">
        <v>317</v>
      </c>
      <c r="D136" s="79">
        <f>SUM(ASOC.ESPAÑOLA:IAC!D136)</f>
        <v>398585256.72749996</v>
      </c>
      <c r="E136" s="138" t="s">
        <v>425</v>
      </c>
      <c r="F136" s="121" t="s">
        <v>426</v>
      </c>
      <c r="G136" s="79">
        <f>SUM(ASOC.ESPAÑOLA:IAC!G136)</f>
        <v>8525948</v>
      </c>
      <c r="H136" s="252"/>
      <c r="XFD136" s="252"/>
    </row>
    <row r="137" spans="2:8 16384:16384" ht="13.7" customHeight="1">
      <c r="B137" s="5" t="s">
        <v>427</v>
      </c>
      <c r="C137" s="78" t="s">
        <v>319</v>
      </c>
      <c r="D137" s="79">
        <f>SUM(ASOC.ESPAÑOLA:IAC!D137)</f>
        <v>48400304.426366739</v>
      </c>
      <c r="E137" s="138" t="s">
        <v>428</v>
      </c>
      <c r="F137" s="121" t="s">
        <v>429</v>
      </c>
      <c r="G137" s="79">
        <f>SUM(ASOC.ESPAÑOLA:IAC!G137)</f>
        <v>841969839.55999994</v>
      </c>
      <c r="H137" s="252"/>
      <c r="XFD137" s="252"/>
    </row>
    <row r="138" spans="2:8 16384:16384" ht="13.7" customHeight="1" thickBot="1">
      <c r="B138" s="5"/>
      <c r="C138" s="85" t="s">
        <v>320</v>
      </c>
      <c r="D138" s="94">
        <f>SUM(D127:D137)</f>
        <v>1494123989.4813666</v>
      </c>
      <c r="E138" s="138" t="s">
        <v>430</v>
      </c>
      <c r="F138" s="78" t="s">
        <v>431</v>
      </c>
      <c r="G138" s="79">
        <f>SUM(ASOC.ESPAÑOLA:IAC!G138)</f>
        <v>39246644.799999997</v>
      </c>
      <c r="H138" s="252"/>
      <c r="XFD138" s="252"/>
    </row>
    <row r="139" spans="2:8 16384:16384" ht="13.7" customHeight="1" thickBot="1">
      <c r="B139" s="5" t="s">
        <v>432</v>
      </c>
      <c r="C139" s="119" t="s">
        <v>326</v>
      </c>
      <c r="D139" s="79">
        <f>SUM(ASOC.ESPAÑOLA:IAC!D139)</f>
        <v>681724</v>
      </c>
      <c r="E139" s="228"/>
      <c r="F139" s="85" t="s">
        <v>433</v>
      </c>
      <c r="G139" s="94">
        <f>SUM(G124:G138)</f>
        <v>1575296627.2099998</v>
      </c>
      <c r="H139" s="252"/>
      <c r="XFD139" s="252"/>
    </row>
    <row r="140" spans="2:8 16384:16384" ht="13.7" customHeight="1" thickBot="1">
      <c r="B140" s="5" t="s">
        <v>434</v>
      </c>
      <c r="C140" s="121" t="s">
        <v>328</v>
      </c>
      <c r="D140" s="79">
        <f>SUM(ASOC.ESPAÑOLA:IAC!D140)</f>
        <v>60247744.223499998</v>
      </c>
      <c r="E140" s="228"/>
      <c r="F140" s="110" t="s">
        <v>435</v>
      </c>
      <c r="G140" s="126">
        <f>G123-G139</f>
        <v>-610513595.87999976</v>
      </c>
      <c r="H140" s="252"/>
      <c r="XFD140" s="252"/>
    </row>
    <row r="141" spans="2:8 16384:16384" ht="13.7" customHeight="1">
      <c r="B141" s="5" t="s">
        <v>436</v>
      </c>
      <c r="C141" s="78" t="s">
        <v>330</v>
      </c>
      <c r="D141" s="79">
        <f>SUM(ASOC.ESPAÑOLA:IAC!D141)</f>
        <v>2018262.1330505006</v>
      </c>
      <c r="E141" s="229"/>
      <c r="F141" s="116"/>
      <c r="G141" s="116"/>
      <c r="H141" s="252"/>
      <c r="XFD141" s="252"/>
    </row>
    <row r="142" spans="2:8 16384:16384" ht="13.7" customHeight="1" thickBot="1">
      <c r="B142" s="5"/>
      <c r="C142" s="85" t="s">
        <v>331</v>
      </c>
      <c r="D142" s="94">
        <f>SUM(D139:D141)</f>
        <v>62947730.3565505</v>
      </c>
      <c r="E142" s="229"/>
      <c r="F142" s="116"/>
      <c r="G142" s="116"/>
      <c r="H142" s="252"/>
      <c r="XFD142" s="252"/>
    </row>
    <row r="143" spans="2:8 16384:16384" ht="13.5" customHeight="1" thickBot="1">
      <c r="B143" s="5"/>
      <c r="C143" s="110" t="s">
        <v>332</v>
      </c>
      <c r="D143" s="248">
        <f>SUM(ASOC.ESPAÑOLA:IAC!D143)</f>
        <v>235778149.47</v>
      </c>
      <c r="E143" s="138"/>
      <c r="F143" s="72" t="s">
        <v>437</v>
      </c>
      <c r="G143" s="118">
        <f>+[37]E.S.P.!D6</f>
        <v>2021</v>
      </c>
      <c r="H143" s="252"/>
      <c r="XFD143" s="252"/>
    </row>
    <row r="144" spans="2:8 16384:16384" ht="13.7" customHeight="1">
      <c r="B144" s="5" t="s">
        <v>438</v>
      </c>
      <c r="C144" s="119" t="s">
        <v>439</v>
      </c>
      <c r="D144" s="82">
        <f>SUM(ASOC.ESPAÑOLA:IAC!D144)</f>
        <v>84865004</v>
      </c>
      <c r="E144" s="138" t="s">
        <v>440</v>
      </c>
      <c r="F144" s="119" t="s">
        <v>441</v>
      </c>
      <c r="G144" s="79">
        <f>SUM(ASOC.ESPAÑOLA:IAC!G144)</f>
        <v>236884483.46599999</v>
      </c>
      <c r="H144" s="252"/>
      <c r="XFD144" s="252"/>
    </row>
    <row r="145" spans="2:8 16384:16384" ht="13.7" customHeight="1">
      <c r="B145" s="5" t="s">
        <v>442</v>
      </c>
      <c r="C145" s="121" t="s">
        <v>443</v>
      </c>
      <c r="D145" s="79">
        <f>SUM(ASOC.ESPAÑOLA:IAC!D145)</f>
        <v>18938475</v>
      </c>
      <c r="E145" s="138" t="s">
        <v>444</v>
      </c>
      <c r="F145" s="121" t="s">
        <v>445</v>
      </c>
      <c r="G145" s="79">
        <f>SUM(ASOC.ESPAÑOLA:IAC!G145)</f>
        <v>132579130.17</v>
      </c>
      <c r="H145" s="252"/>
      <c r="XFD145" s="252"/>
    </row>
    <row r="146" spans="2:8 16384:16384" ht="13.7" customHeight="1">
      <c r="B146" s="5" t="s">
        <v>446</v>
      </c>
      <c r="C146" s="128" t="s">
        <v>447</v>
      </c>
      <c r="D146" s="79">
        <f>SUM(ASOC.ESPAÑOLA:IAC!D146)</f>
        <v>34264</v>
      </c>
      <c r="E146" s="138" t="s">
        <v>448</v>
      </c>
      <c r="F146" s="121" t="s">
        <v>449</v>
      </c>
      <c r="G146" s="79">
        <f>SUM(ASOC.ESPAÑOLA:IAC!G146)</f>
        <v>152087523.01999998</v>
      </c>
      <c r="H146" s="252"/>
      <c r="XFD146" s="252"/>
    </row>
    <row r="147" spans="2:8 16384:16384" ht="13.7" customHeight="1">
      <c r="B147" s="5" t="s">
        <v>450</v>
      </c>
      <c r="C147" s="78" t="s">
        <v>451</v>
      </c>
      <c r="D147" s="79">
        <f>SUM(ASOC.ESPAÑOLA:IAC!D147)</f>
        <v>3576672</v>
      </c>
      <c r="E147" s="138" t="s">
        <v>452</v>
      </c>
      <c r="F147" s="121" t="s">
        <v>453</v>
      </c>
      <c r="G147" s="79">
        <f>SUM(ASOC.ESPAÑOLA:IAC!G147)</f>
        <v>33938742</v>
      </c>
      <c r="H147" s="252"/>
      <c r="XFD147" s="252"/>
    </row>
    <row r="148" spans="2:8 16384:16384" ht="13.7" customHeight="1" thickBot="1">
      <c r="B148" s="5"/>
      <c r="C148" s="85" t="s">
        <v>518</v>
      </c>
      <c r="D148" s="94">
        <f>SUM(D144:D147)</f>
        <v>107414415</v>
      </c>
      <c r="E148" s="138" t="s">
        <v>454</v>
      </c>
      <c r="F148" s="121" t="s">
        <v>455</v>
      </c>
      <c r="G148" s="79">
        <f>SUM(ASOC.ESPAÑOLA:IAC!G148)</f>
        <v>0</v>
      </c>
      <c r="H148" s="252"/>
      <c r="XFD148" s="252"/>
    </row>
    <row r="149" spans="2:8 16384:16384" ht="13.7" customHeight="1">
      <c r="B149" s="5" t="s">
        <v>456</v>
      </c>
      <c r="C149" s="119" t="s">
        <v>457</v>
      </c>
      <c r="D149" s="79">
        <f>SUM(ASOC.ESPAÑOLA:IAC!D149)</f>
        <v>84456096</v>
      </c>
      <c r="E149" s="138" t="s">
        <v>458</v>
      </c>
      <c r="F149" s="121" t="s">
        <v>459</v>
      </c>
      <c r="G149" s="79">
        <f>SUM(ASOC.ESPAÑOLA:IAC!G149)</f>
        <v>0</v>
      </c>
      <c r="H149" s="252"/>
      <c r="XFD149" s="252"/>
    </row>
    <row r="150" spans="2:8 16384:16384" ht="13.7" customHeight="1">
      <c r="B150" s="5" t="s">
        <v>460</v>
      </c>
      <c r="C150" s="121" t="s">
        <v>461</v>
      </c>
      <c r="D150" s="79">
        <f>SUM(ASOC.ESPAÑOLA:IAC!D150)</f>
        <v>132160696.75</v>
      </c>
      <c r="E150" s="138" t="s">
        <v>462</v>
      </c>
      <c r="F150" s="121" t="s">
        <v>463</v>
      </c>
      <c r="G150" s="79">
        <f>SUM(ASOC.ESPAÑOLA:IAC!G150)</f>
        <v>141179</v>
      </c>
      <c r="H150" s="252"/>
      <c r="XFD150" s="252"/>
    </row>
    <row r="151" spans="2:8 16384:16384" ht="13.7" customHeight="1">
      <c r="B151" s="5" t="s">
        <v>464</v>
      </c>
      <c r="C151" s="78" t="s">
        <v>465</v>
      </c>
      <c r="D151" s="79">
        <f>SUM(ASOC.ESPAÑOLA:IAC!D151)</f>
        <v>2487670</v>
      </c>
      <c r="E151" s="138" t="s">
        <v>466</v>
      </c>
      <c r="F151" s="121" t="s">
        <v>467</v>
      </c>
      <c r="G151" s="79">
        <f>SUM(ASOC.ESPAÑOLA:IAC!G151)</f>
        <v>974951008</v>
      </c>
      <c r="H151" s="252"/>
      <c r="XFD151" s="252"/>
    </row>
    <row r="152" spans="2:8 16384:16384" ht="13.7" customHeight="1" thickBot="1">
      <c r="B152" s="5"/>
      <c r="C152" s="85" t="s">
        <v>468</v>
      </c>
      <c r="D152" s="94">
        <f>SUM(D149:D151)</f>
        <v>219104462.75</v>
      </c>
      <c r="E152" s="138" t="s">
        <v>469</v>
      </c>
      <c r="F152" s="121" t="s">
        <v>470</v>
      </c>
      <c r="G152" s="79">
        <f>SUM(ASOC.ESPAÑOLA:IAC!G152)</f>
        <v>12070713.27</v>
      </c>
      <c r="H152" s="252"/>
      <c r="XFD152" s="252"/>
    </row>
    <row r="153" spans="2:8 16384:16384" ht="15" customHeight="1" thickBot="1">
      <c r="B153" s="5"/>
      <c r="C153" s="110" t="s">
        <v>471</v>
      </c>
      <c r="D153" s="129">
        <f>D122+D126+D138+D142+D143+D148+D152</f>
        <v>6827317068.0613089</v>
      </c>
      <c r="E153" s="138" t="s">
        <v>472</v>
      </c>
      <c r="F153" s="78" t="s">
        <v>473</v>
      </c>
      <c r="G153" s="79">
        <f>SUM(ASOC.ESPAÑOLA:IAC!G153)</f>
        <v>14189087.523424044</v>
      </c>
      <c r="H153" s="252"/>
      <c r="XFD153" s="252"/>
    </row>
    <row r="154" spans="2:8 16384:16384" ht="13.7" customHeight="1" thickBot="1">
      <c r="B154" s="5"/>
      <c r="C154" s="116"/>
      <c r="D154" s="116"/>
      <c r="E154" s="138"/>
      <c r="F154" s="85" t="s">
        <v>474</v>
      </c>
      <c r="G154" s="94">
        <f>SUM(G144:G153)</f>
        <v>1556841866.449424</v>
      </c>
      <c r="H154" s="252"/>
      <c r="XFD154" s="252"/>
    </row>
    <row r="155" spans="2:8 16384:16384" ht="13.5" customHeight="1" thickBot="1">
      <c r="B155" s="5"/>
      <c r="C155" s="72" t="s">
        <v>475</v>
      </c>
      <c r="D155" s="103">
        <f>G109-D153</f>
        <v>1237252124.0416727</v>
      </c>
      <c r="E155" s="138" t="s">
        <v>476</v>
      </c>
      <c r="F155" s="119" t="s">
        <v>477</v>
      </c>
      <c r="G155" s="79">
        <f>SUM(ASOC.ESPAÑOLA:IAC!G155)</f>
        <v>351074828.93999994</v>
      </c>
      <c r="H155" s="252"/>
      <c r="XFD155" s="252"/>
    </row>
    <row r="156" spans="2:8 16384:16384" ht="13.7" customHeight="1">
      <c r="C156" s="116"/>
      <c r="D156" s="116"/>
      <c r="E156" s="138" t="s">
        <v>478</v>
      </c>
      <c r="F156" s="121" t="s">
        <v>479</v>
      </c>
      <c r="G156" s="79">
        <f>SUM(ASOC.ESPAÑOLA:IAC!G156)</f>
        <v>524617768.85999995</v>
      </c>
      <c r="H156" s="252"/>
      <c r="XFD156" s="252"/>
    </row>
    <row r="157" spans="2:8 16384:16384" ht="13.7" customHeight="1">
      <c r="C157" s="116"/>
      <c r="D157" s="116"/>
      <c r="E157" s="138" t="s">
        <v>480</v>
      </c>
      <c r="F157" s="121" t="s">
        <v>481</v>
      </c>
      <c r="G157" s="79">
        <f>SUM(ASOC.ESPAÑOLA:IAC!G157)</f>
        <v>54155765</v>
      </c>
      <c r="H157" s="252"/>
      <c r="XFD157" s="252"/>
    </row>
    <row r="158" spans="2:8 16384:16384" ht="13.7" customHeight="1">
      <c r="C158" s="116"/>
      <c r="D158" s="116"/>
      <c r="E158" s="138" t="s">
        <v>482</v>
      </c>
      <c r="F158" s="121" t="s">
        <v>483</v>
      </c>
      <c r="G158" s="79">
        <f>SUM(ASOC.ESPAÑOLA:IAC!G158)</f>
        <v>12234156</v>
      </c>
      <c r="H158" s="252"/>
      <c r="XFD158" s="252"/>
    </row>
    <row r="159" spans="2:8 16384:16384" ht="13.7" customHeight="1">
      <c r="C159" s="116"/>
      <c r="D159" s="116"/>
      <c r="E159" s="138" t="s">
        <v>484</v>
      </c>
      <c r="F159" s="121" t="s">
        <v>485</v>
      </c>
      <c r="G159" s="79">
        <f>SUM(ASOC.ESPAÑOLA:IAC!G159)</f>
        <v>3658466</v>
      </c>
      <c r="H159" s="252"/>
      <c r="XFD159" s="252"/>
    </row>
    <row r="160" spans="2:8 16384:16384" ht="13.7" customHeight="1">
      <c r="C160" s="116"/>
      <c r="D160" s="116"/>
      <c r="E160" s="138" t="s">
        <v>486</v>
      </c>
      <c r="F160" s="121" t="s">
        <v>487</v>
      </c>
      <c r="G160" s="79">
        <f>SUM(ASOC.ESPAÑOLA:IAC!G160)</f>
        <v>11044802.620000001</v>
      </c>
      <c r="H160" s="252"/>
      <c r="XFD160" s="252"/>
    </row>
    <row r="161" spans="3:8 16384:16384" ht="13.7" customHeight="1">
      <c r="C161" s="116"/>
      <c r="D161" s="116"/>
      <c r="E161" s="138" t="s">
        <v>488</v>
      </c>
      <c r="F161" s="121" t="s">
        <v>489</v>
      </c>
      <c r="G161" s="79">
        <f>SUM(ASOC.ESPAÑOLA:IAC!G161)</f>
        <v>327868820.97000003</v>
      </c>
      <c r="H161" s="252"/>
      <c r="XFD161" s="252"/>
    </row>
    <row r="162" spans="3:8 16384:16384" ht="13.7" customHeight="1">
      <c r="C162" s="116"/>
      <c r="D162" s="116"/>
      <c r="E162" s="138" t="s">
        <v>490</v>
      </c>
      <c r="F162" s="121" t="s">
        <v>491</v>
      </c>
      <c r="G162" s="79">
        <f>SUM(ASOC.ESPAÑOLA:IAC!G162)</f>
        <v>0</v>
      </c>
      <c r="H162" s="252"/>
      <c r="XFD162" s="252"/>
    </row>
    <row r="163" spans="3:8 16384:16384" ht="13.7" customHeight="1">
      <c r="C163" s="116"/>
      <c r="D163" s="116"/>
      <c r="E163" s="138" t="s">
        <v>492</v>
      </c>
      <c r="F163" s="121" t="s">
        <v>493</v>
      </c>
      <c r="G163" s="79">
        <f>SUM(ASOC.ESPAÑOLA:IAC!G163)</f>
        <v>7544622.6900000004</v>
      </c>
      <c r="H163" s="252"/>
      <c r="XFD163" s="252"/>
    </row>
    <row r="164" spans="3:8 16384:16384" ht="13.7" customHeight="1">
      <c r="C164" s="116"/>
      <c r="D164" s="116"/>
      <c r="E164" s="138" t="s">
        <v>494</v>
      </c>
      <c r="F164" s="121" t="s">
        <v>495</v>
      </c>
      <c r="G164" s="79">
        <f>SUM(ASOC.ESPAÑOLA:IAC!G164)</f>
        <v>6720393</v>
      </c>
      <c r="H164" s="252"/>
      <c r="XFD164" s="252"/>
    </row>
    <row r="165" spans="3:8 16384:16384" ht="13.7" customHeight="1">
      <c r="C165" s="116"/>
      <c r="D165" s="116"/>
      <c r="E165" s="138" t="s">
        <v>496</v>
      </c>
      <c r="F165" s="121" t="s">
        <v>497</v>
      </c>
      <c r="G165" s="79">
        <f>SUM(ASOC.ESPAÑOLA:IAC!G165)</f>
        <v>174840300</v>
      </c>
      <c r="H165" s="252"/>
      <c r="XFD165" s="252"/>
    </row>
    <row r="166" spans="3:8 16384:16384" ht="13.7" customHeight="1">
      <c r="C166" s="116"/>
      <c r="D166" s="116"/>
      <c r="E166" s="138" t="s">
        <v>498</v>
      </c>
      <c r="F166" s="121" t="s">
        <v>499</v>
      </c>
      <c r="G166" s="79">
        <f>SUM(ASOC.ESPAÑOLA:IAC!G166)</f>
        <v>108411293.49000001</v>
      </c>
      <c r="H166" s="252"/>
      <c r="XFD166" s="252"/>
    </row>
    <row r="167" spans="3:8 16384:16384" ht="13.7" customHeight="1">
      <c r="C167" s="116"/>
      <c r="D167" s="116"/>
      <c r="E167" s="138" t="s">
        <v>500</v>
      </c>
      <c r="F167" s="78" t="s">
        <v>501</v>
      </c>
      <c r="G167" s="79">
        <f>SUM(ASOC.ESPAÑOLA:IAC!G167)</f>
        <v>58518157.768368669</v>
      </c>
      <c r="H167" s="252"/>
      <c r="XFD167" s="252"/>
    </row>
    <row r="168" spans="3:8 16384:16384" ht="13.7" customHeight="1" thickBot="1">
      <c r="C168" s="116"/>
      <c r="D168" s="116"/>
      <c r="E168" s="138"/>
      <c r="F168" s="85" t="s">
        <v>502</v>
      </c>
      <c r="G168" s="94">
        <f>SUM(G155:G167)</f>
        <v>1640689375.3383687</v>
      </c>
      <c r="H168" s="252"/>
      <c r="XFD168" s="252"/>
    </row>
    <row r="169" spans="3:8 16384:16384" ht="13.7" customHeight="1" thickBot="1">
      <c r="C169" s="116"/>
      <c r="D169" s="116"/>
      <c r="E169" s="138"/>
      <c r="F169" s="110" t="s">
        <v>503</v>
      </c>
      <c r="G169" s="126">
        <f>G154-G168</f>
        <v>-83847508.888944626</v>
      </c>
      <c r="H169" s="252"/>
      <c r="XFD169" s="252"/>
    </row>
    <row r="170" spans="3:8 16384:16384" ht="7.5" customHeight="1" thickBot="1">
      <c r="C170" s="116"/>
      <c r="D170" s="116"/>
      <c r="E170" s="138"/>
      <c r="F170" s="116"/>
      <c r="G170" s="116"/>
      <c r="H170" s="252"/>
      <c r="XFD170" s="252"/>
    </row>
    <row r="171" spans="3:8 16384:16384" ht="13.7" customHeight="1" thickBot="1">
      <c r="C171" s="116"/>
      <c r="D171" s="116"/>
      <c r="E171" s="138"/>
      <c r="F171" s="72" t="s">
        <v>504</v>
      </c>
      <c r="G171" s="131"/>
      <c r="H171" s="252"/>
      <c r="XFD171" s="252"/>
    </row>
    <row r="172" spans="3:8 16384:16384" ht="13.7" customHeight="1" thickBot="1">
      <c r="C172" s="116"/>
      <c r="D172" s="116"/>
      <c r="E172" s="138"/>
      <c r="F172" s="132"/>
      <c r="G172" s="133">
        <f>+D155+G140+G169</f>
        <v>542891019.27272832</v>
      </c>
      <c r="H172" s="252"/>
      <c r="XFD172" s="252"/>
    </row>
    <row r="173" spans="3:8 16384:16384" ht="9" customHeight="1" thickBot="1">
      <c r="C173" s="116"/>
      <c r="D173" s="116"/>
      <c r="E173" s="138"/>
      <c r="F173" s="134"/>
      <c r="G173" s="135"/>
      <c r="H173" s="252"/>
      <c r="XFD173" s="252"/>
    </row>
    <row r="174" spans="3:8 16384:16384" ht="15" customHeight="1" thickBot="1">
      <c r="C174" s="116"/>
      <c r="D174" s="116"/>
      <c r="E174" s="138"/>
      <c r="F174" s="72" t="s">
        <v>505</v>
      </c>
      <c r="G174" s="118">
        <f>+G143</f>
        <v>2021</v>
      </c>
      <c r="H174" s="252"/>
      <c r="XFD174" s="252"/>
    </row>
    <row r="175" spans="3:8 16384:16384" ht="13.7" customHeight="1">
      <c r="C175" s="116"/>
      <c r="D175" s="116"/>
      <c r="E175" s="138"/>
      <c r="F175" s="119" t="s">
        <v>506</v>
      </c>
      <c r="G175" s="79">
        <f>SUM(ASOC.ESPAÑOLA:IAC!G175)</f>
        <v>75325996.700320005</v>
      </c>
      <c r="H175" s="252"/>
      <c r="XFD175" s="252"/>
    </row>
    <row r="176" spans="3:8 16384:16384" ht="13.7" customHeight="1">
      <c r="C176" s="116"/>
      <c r="D176" s="116"/>
      <c r="E176" s="138"/>
      <c r="F176" s="121" t="s">
        <v>507</v>
      </c>
      <c r="G176" s="79">
        <f>SUM(ASOC.ESPAÑOLA:IAC!G176)</f>
        <v>18408995</v>
      </c>
      <c r="H176" s="252"/>
      <c r="XFD176" s="252"/>
    </row>
    <row r="177" spans="1:8 16384:16384" ht="13.7" customHeight="1" thickBot="1">
      <c r="C177" s="116"/>
      <c r="D177" s="116"/>
      <c r="E177" s="138"/>
      <c r="F177" s="121" t="s">
        <v>508</v>
      </c>
      <c r="G177" s="79">
        <f>SUM(ASOC.ESPAÑOLA:IAC!G177)</f>
        <v>277670893</v>
      </c>
      <c r="H177" s="252"/>
      <c r="XFD177" s="252"/>
    </row>
    <row r="178" spans="1:8 16384:16384" ht="13.7" customHeight="1" thickBot="1">
      <c r="C178" s="116"/>
      <c r="D178" s="116"/>
      <c r="E178" s="138"/>
      <c r="F178" s="72" t="s">
        <v>509</v>
      </c>
      <c r="G178" s="103">
        <f>SUM(G175:G177)</f>
        <v>371405884.70032001</v>
      </c>
      <c r="H178" s="252"/>
      <c r="XFD178" s="252"/>
    </row>
    <row r="179" spans="1:8 16384:16384" ht="9.75" customHeight="1" thickBot="1">
      <c r="C179" s="116"/>
      <c r="D179" s="116"/>
      <c r="E179" s="138"/>
      <c r="F179" s="116"/>
      <c r="G179" s="116"/>
      <c r="H179" s="252"/>
      <c r="XFD179" s="252"/>
    </row>
    <row r="180" spans="1:8 16384:16384" ht="14.25" customHeight="1" thickBot="1">
      <c r="C180" s="116"/>
      <c r="D180" s="116"/>
      <c r="E180" s="138"/>
      <c r="F180" s="72" t="s">
        <v>519</v>
      </c>
      <c r="G180" s="131"/>
      <c r="H180" s="252"/>
      <c r="XFD180" s="252"/>
    </row>
    <row r="181" spans="1:8 16384:16384" ht="16.5" customHeight="1" thickBot="1">
      <c r="C181" s="116"/>
      <c r="D181" s="116"/>
      <c r="E181" s="138"/>
      <c r="F181" s="132"/>
      <c r="G181" s="133">
        <f>+G172+G178</f>
        <v>914296903.97304833</v>
      </c>
      <c r="H181" s="252"/>
      <c r="XFD181" s="252"/>
    </row>
    <row r="182" spans="1:8 16384:16384" ht="13.7" customHeight="1"/>
    <row r="183" spans="1:8 16384:16384" ht="13.5" customHeight="1"/>
    <row r="184" spans="1:8 16384:16384" ht="13.7" customHeight="1">
      <c r="E184" s="20"/>
      <c r="F184" s="4"/>
      <c r="G184" s="4"/>
      <c r="H184" s="20"/>
    </row>
    <row r="185" spans="1:8 16384:16384" s="20" customFormat="1" ht="13.7" customHeight="1">
      <c r="A185" s="21"/>
      <c r="C185" s="4"/>
      <c r="D185" s="4"/>
      <c r="E185" s="13"/>
      <c r="F185" s="19"/>
      <c r="G185" s="19"/>
    </row>
    <row r="186" spans="1:8 16384:16384" s="20" customFormat="1">
      <c r="A186" s="21"/>
      <c r="C186" s="4"/>
      <c r="D186" s="4"/>
      <c r="E186" s="13"/>
      <c r="F186" s="19"/>
      <c r="G186" s="19"/>
    </row>
    <row r="187" spans="1:8 16384:16384" s="20" customFormat="1" hidden="1">
      <c r="A187" s="21"/>
      <c r="C187" s="4"/>
      <c r="D187" s="4"/>
      <c r="E187" s="13"/>
      <c r="F187" s="19"/>
      <c r="G187" s="19"/>
    </row>
    <row r="188" spans="1:8 16384:16384" s="20" customFormat="1" hidden="1">
      <c r="A188" s="21"/>
      <c r="C188" s="4"/>
      <c r="D188" s="4"/>
      <c r="E188" s="13"/>
      <c r="F188" s="19"/>
      <c r="G188" s="19"/>
    </row>
    <row r="189" spans="1:8 16384:16384" s="20" customFormat="1" hidden="1">
      <c r="A189" s="21"/>
      <c r="C189" s="4"/>
      <c r="D189" s="4"/>
      <c r="E189" s="13"/>
      <c r="F189" s="19"/>
      <c r="G189" s="19"/>
    </row>
    <row r="190" spans="1:8 16384:16384" s="20" customFormat="1" hidden="1">
      <c r="A190" s="21"/>
      <c r="C190" s="4"/>
      <c r="D190" s="4"/>
      <c r="E190" s="13"/>
      <c r="F190" s="19"/>
      <c r="G190" s="19"/>
    </row>
    <row r="191" spans="1:8 16384:16384" s="20" customFormat="1" hidden="1">
      <c r="A191" s="21"/>
      <c r="C191" s="4"/>
      <c r="D191" s="4"/>
      <c r="E191" s="13"/>
      <c r="F191" s="19"/>
      <c r="G191" s="19"/>
    </row>
    <row r="192" spans="1:8 16384:16384"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51" priority="136" stopIfTrue="1" operator="greaterThan">
      <formula>50</formula>
    </cfRule>
    <cfRule type="cellIs" dxfId="50" priority="145" stopIfTrue="1" operator="equal">
      <formula>0</formula>
    </cfRule>
  </conditionalFormatting>
  <conditionalFormatting sqref="D7:D61">
    <cfRule type="cellIs" dxfId="49" priority="143" stopIfTrue="1" operator="between">
      <formula>-0.1</formula>
      <formula>-50</formula>
    </cfRule>
    <cfRule type="cellIs" dxfId="48" priority="144" stopIfTrue="1" operator="between">
      <formula>0.1</formula>
      <formula>50</formula>
    </cfRule>
  </conditionalFormatting>
  <conditionalFormatting sqref="G154 G19 G27 G32:G33 G40 G48 G57 G79 G95 G101 G105:G111 G123 G139:G143 G168:G174 G178:G181">
    <cfRule type="cellIs" dxfId="47" priority="141" stopIfTrue="1" operator="between">
      <formula>-0.1</formula>
      <formula>-50</formula>
    </cfRule>
    <cfRule type="cellIs" dxfId="46" priority="142" stopIfTrue="1" operator="between">
      <formula>0.1</formula>
      <formula>50</formula>
    </cfRule>
  </conditionalFormatting>
  <conditionalFormatting sqref="D111 D122 D126 D138 D142 D148 D152:D155">
    <cfRule type="cellIs" dxfId="45" priority="139" stopIfTrue="1" operator="between">
      <formula>-0.1</formula>
      <formula>-50</formula>
    </cfRule>
    <cfRule type="cellIs" dxfId="44" priority="140" stopIfTrue="1" operator="between">
      <formula>0.1</formula>
      <formula>50</formula>
    </cfRule>
  </conditionalFormatting>
  <conditionalFormatting sqref="G102">
    <cfRule type="cellIs" dxfId="43" priority="69" stopIfTrue="1" operator="between">
      <formula>-0.1</formula>
      <formula>-50</formula>
    </cfRule>
    <cfRule type="cellIs" dxfId="42" priority="70" stopIfTrue="1" operator="between">
      <formula>0.1</formula>
      <formula>50</formula>
    </cfRule>
  </conditionalFormatting>
  <conditionalFormatting sqref="D112:D121">
    <cfRule type="cellIs" dxfId="41" priority="41" stopIfTrue="1" operator="between">
      <formula>-0.1</formula>
      <formula>-50</formula>
    </cfRule>
    <cfRule type="cellIs" dxfId="40" priority="42" stopIfTrue="1" operator="between">
      <formula>0.1</formula>
      <formula>50</formula>
    </cfRule>
  </conditionalFormatting>
  <conditionalFormatting sqref="D123:D125">
    <cfRule type="cellIs" dxfId="39" priority="39" stopIfTrue="1" operator="between">
      <formula>-0.1</formula>
      <formula>-50</formula>
    </cfRule>
    <cfRule type="cellIs" dxfId="38" priority="40" stopIfTrue="1" operator="between">
      <formula>0.1</formula>
      <formula>50</formula>
    </cfRule>
  </conditionalFormatting>
  <conditionalFormatting sqref="D127:D137">
    <cfRule type="cellIs" dxfId="37" priority="37" stopIfTrue="1" operator="between">
      <formula>-0.1</formula>
      <formula>-50</formula>
    </cfRule>
    <cfRule type="cellIs" dxfId="36" priority="38" stopIfTrue="1" operator="between">
      <formula>0.1</formula>
      <formula>50</formula>
    </cfRule>
  </conditionalFormatting>
  <conditionalFormatting sqref="D139:D141">
    <cfRule type="cellIs" dxfId="35" priority="35" stopIfTrue="1" operator="between">
      <formula>-0.1</formula>
      <formula>-50</formula>
    </cfRule>
    <cfRule type="cellIs" dxfId="34" priority="36" stopIfTrue="1" operator="between">
      <formula>0.1</formula>
      <formula>50</formula>
    </cfRule>
  </conditionalFormatting>
  <conditionalFormatting sqref="D143:D147">
    <cfRule type="cellIs" dxfId="33" priority="33" stopIfTrue="1" operator="between">
      <formula>-0.1</formula>
      <formula>-50</formula>
    </cfRule>
    <cfRule type="cellIs" dxfId="32" priority="34" stopIfTrue="1" operator="between">
      <formula>0.1</formula>
      <formula>50</formula>
    </cfRule>
  </conditionalFormatting>
  <conditionalFormatting sqref="D149:D151">
    <cfRule type="cellIs" dxfId="31" priority="31" stopIfTrue="1" operator="between">
      <formula>-0.1</formula>
      <formula>-50</formula>
    </cfRule>
    <cfRule type="cellIs" dxfId="30" priority="32" stopIfTrue="1" operator="between">
      <formula>0.1</formula>
      <formula>50</formula>
    </cfRule>
  </conditionalFormatting>
  <conditionalFormatting sqref="G7:G18">
    <cfRule type="cellIs" dxfId="29" priority="29" stopIfTrue="1" operator="between">
      <formula>-0.1</formula>
      <formula>-50</formula>
    </cfRule>
    <cfRule type="cellIs" dxfId="28" priority="30" stopIfTrue="1" operator="between">
      <formula>0.1</formula>
      <formula>50</formula>
    </cfRule>
  </conditionalFormatting>
  <conditionalFormatting sqref="G20:G26">
    <cfRule type="cellIs" dxfId="27" priority="27" stopIfTrue="1" operator="between">
      <formula>-0.1</formula>
      <formula>-50</formula>
    </cfRule>
    <cfRule type="cellIs" dxfId="26" priority="28" stopIfTrue="1" operator="between">
      <formula>0.1</formula>
      <formula>50</formula>
    </cfRule>
  </conditionalFormatting>
  <conditionalFormatting sqref="G28:G31">
    <cfRule type="cellIs" dxfId="25" priority="25" stopIfTrue="1" operator="between">
      <formula>-0.1</formula>
      <formula>-50</formula>
    </cfRule>
    <cfRule type="cellIs" dxfId="24" priority="26" stopIfTrue="1" operator="between">
      <formula>0.1</formula>
      <formula>50</formula>
    </cfRule>
  </conditionalFormatting>
  <conditionalFormatting sqref="G34:G39">
    <cfRule type="cellIs" dxfId="23" priority="23" stopIfTrue="1" operator="between">
      <formula>-0.1</formula>
      <formula>-50</formula>
    </cfRule>
    <cfRule type="cellIs" dxfId="22" priority="24" stopIfTrue="1" operator="between">
      <formula>0.1</formula>
      <formula>50</formula>
    </cfRule>
  </conditionalFormatting>
  <conditionalFormatting sqref="G41:G47">
    <cfRule type="cellIs" dxfId="21" priority="21" stopIfTrue="1" operator="between">
      <formula>-0.1</formula>
      <formula>-50</formula>
    </cfRule>
    <cfRule type="cellIs" dxfId="20" priority="22" stopIfTrue="1" operator="between">
      <formula>0.1</formula>
      <formula>50</formula>
    </cfRule>
  </conditionalFormatting>
  <conditionalFormatting sqref="G49:G56">
    <cfRule type="cellIs" dxfId="19" priority="19" stopIfTrue="1" operator="between">
      <formula>-0.1</formula>
      <formula>-50</formula>
    </cfRule>
    <cfRule type="cellIs" dxfId="18" priority="20" stopIfTrue="1" operator="between">
      <formula>0.1</formula>
      <formula>50</formula>
    </cfRule>
  </conditionalFormatting>
  <conditionalFormatting sqref="G58:G78">
    <cfRule type="cellIs" dxfId="17" priority="17" stopIfTrue="1" operator="between">
      <formula>-0.1</formula>
      <formula>-50</formula>
    </cfRule>
    <cfRule type="cellIs" dxfId="16" priority="18" stopIfTrue="1" operator="between">
      <formula>0.1</formula>
      <formula>50</formula>
    </cfRule>
  </conditionalFormatting>
  <conditionalFormatting sqref="G80:G94">
    <cfRule type="cellIs" dxfId="15" priority="15" stopIfTrue="1" operator="between">
      <formula>-0.1</formula>
      <formula>-50</formula>
    </cfRule>
    <cfRule type="cellIs" dxfId="14" priority="16" stopIfTrue="1" operator="between">
      <formula>0.1</formula>
      <formula>50</formula>
    </cfRule>
  </conditionalFormatting>
  <conditionalFormatting sqref="G96:G100">
    <cfRule type="cellIs" dxfId="13" priority="13" stopIfTrue="1" operator="between">
      <formula>-0.1</formula>
      <formula>-50</formula>
    </cfRule>
    <cfRule type="cellIs" dxfId="12" priority="14" stopIfTrue="1" operator="between">
      <formula>0.1</formula>
      <formula>50</formula>
    </cfRule>
  </conditionalFormatting>
  <conditionalFormatting sqref="G103:G104">
    <cfRule type="cellIs" dxfId="11" priority="11" stopIfTrue="1" operator="between">
      <formula>-0.1</formula>
      <formula>-50</formula>
    </cfRule>
    <cfRule type="cellIs" dxfId="10" priority="12" stopIfTrue="1" operator="between">
      <formula>0.1</formula>
      <formula>50</formula>
    </cfRule>
  </conditionalFormatting>
  <conditionalFormatting sqref="G112:G122">
    <cfRule type="cellIs" dxfId="9" priority="9" stopIfTrue="1" operator="between">
      <formula>-0.1</formula>
      <formula>-50</formula>
    </cfRule>
    <cfRule type="cellIs" dxfId="8" priority="10" stopIfTrue="1" operator="between">
      <formula>0.1</formula>
      <formula>50</formula>
    </cfRule>
  </conditionalFormatting>
  <conditionalFormatting sqref="G124:G138">
    <cfRule type="cellIs" dxfId="7" priority="7" stopIfTrue="1" operator="between">
      <formula>-0.1</formula>
      <formula>-50</formula>
    </cfRule>
    <cfRule type="cellIs" dxfId="6" priority="8" stopIfTrue="1" operator="between">
      <formula>0.1</formula>
      <formula>50</formula>
    </cfRule>
  </conditionalFormatting>
  <conditionalFormatting sqref="G144:G153">
    <cfRule type="cellIs" dxfId="5" priority="5" stopIfTrue="1" operator="between">
      <formula>-0.1</formula>
      <formula>-50</formula>
    </cfRule>
    <cfRule type="cellIs" dxfId="4" priority="6" stopIfTrue="1" operator="between">
      <formula>0.1</formula>
      <formula>50</formula>
    </cfRule>
  </conditionalFormatting>
  <conditionalFormatting sqref="G155:G167">
    <cfRule type="cellIs" dxfId="3" priority="3" stopIfTrue="1" operator="between">
      <formula>-0.1</formula>
      <formula>-50</formula>
    </cfRule>
    <cfRule type="cellIs" dxfId="2" priority="4" stopIfTrue="1" operator="between">
      <formula>0.1</formula>
      <formula>50</formula>
    </cfRule>
  </conditionalFormatting>
  <conditionalFormatting sqref="G175:G177">
    <cfRule type="cellIs" dxfId="1" priority="1" stopIfTrue="1" operator="between">
      <formula>-0.1</formula>
      <formula>-50</formula>
    </cfRule>
    <cfRule type="cellIs" dxfId="0" priority="2" stopIfTrue="1" operator="between">
      <formula>0.1</formula>
      <formula>50</formula>
    </cfRule>
  </conditionalFormatting>
  <dataValidations count="7">
    <dataValidation operator="greaterThanOrEqual" allowBlank="1" errorTitle="Error de datos" error="Debe ingresar un valor entero positivo" sqref="F6:F107 F203 C13:C47 C106:C153 F171 F174:F178 F180 F111:F119 C7:C10 F121:F140 F143:F169 C49:C62 C155 F109"/>
    <dataValidation allowBlank="1" sqref="G204"/>
    <dataValidation allowBlank="1" errorTitle="Error de datos" error="Debe introducir una fecha válida" sqref="E3"/>
    <dataValidation type="whole" allowBlank="1" showErrorMessage="1" errorTitle="Error de datos" error="Debe ingresar un valor entre 1 y 12" sqref="G1:G3">
      <formula1>1</formula1>
      <formula2>12</formula2>
    </dataValidation>
    <dataValidation type="custom" operator="greaterThan" showInputMessage="1" showErrorMessage="1" errorTitle="eee" sqref="D62:D155 D13:D59 G144:G181 G7:G140">
      <formula1>OR(D7=0, D7&gt;50)</formula1>
    </dataValidation>
    <dataValidation type="custom" operator="greaterThan" showInputMessage="1" showErrorMessage="1" errorTitle="eee" sqref="D60:D61">
      <formula1>OR(D60=0, D60&lt;0)</formula1>
    </dataValidation>
    <dataValidation type="whole" operator="greaterThan" showInputMessage="1" showErrorMessage="1" errorTitle="eee" error="Valores mayores a $50" sqref="D7:D12">
      <formula1>50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D47:D48 D60:D111 D152:D1048576 G32:G33 G106:G111 G139:G143 G168:G174 G178:G1048576 D35 D29 D20:D21 D7:D19 D22:D28 D30:D34 D36:D46 D52:D55 D49:D51 D56:D59 G27 G19 G7:G18 G20:G26 G28:G31 G57 G48 G40 G34:G39 G41:G47 G49:G56 G58:G68 G105 G101:G102 G95 G79 G69:G78 G80:G92 G96:G100 G103:G104 D148 D142 D138 D126 D122 D112:D121 D123:D125 D127:D137 D139:D141 D143:D147 D149:D151 G123 G112:G122 G124:G138 G154 G144:G153 G155:G167 G175:G177 G93:G9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topLeftCell="A37" zoomScaleNormal="100" zoomScaleSheetLayoutView="100" workbookViewId="0">
      <selection activeCell="A64" sqref="A64:XFD64"/>
    </sheetView>
  </sheetViews>
  <sheetFormatPr baseColWidth="10" defaultColWidth="0" defaultRowHeight="15.75" zeroHeight="1"/>
  <cols>
    <col min="1" max="1" width="3" style="1" customWidth="1"/>
    <col min="2" max="2" width="14.28515625" style="6" hidden="1" customWidth="1"/>
    <col min="3" max="3" width="57" style="19" customWidth="1"/>
    <col min="4" max="4" width="21" style="19" customWidth="1"/>
    <col min="5" max="5" width="3.85546875" style="13" customWidth="1"/>
    <col min="6" max="6" width="57.28515625" style="19" customWidth="1"/>
    <col min="7" max="7" width="21" style="19" customWidth="1"/>
    <col min="8" max="8" width="2.5703125" style="4" customWidth="1"/>
    <col min="9" max="16384" width="0" style="4" hidden="1"/>
  </cols>
  <sheetData>
    <row r="1" spans="1:9">
      <c r="B1" s="2"/>
      <c r="C1" s="255" t="s">
        <v>0</v>
      </c>
      <c r="D1" s="258"/>
      <c r="E1" s="253" t="str">
        <f>[6]Presentacion!C3</f>
        <v>CCOU</v>
      </c>
      <c r="F1" s="253"/>
      <c r="G1" s="136"/>
      <c r="H1" s="3"/>
    </row>
    <row r="2" spans="1:9">
      <c r="B2" s="5"/>
      <c r="C2" s="255" t="s">
        <v>1</v>
      </c>
      <c r="D2" s="258"/>
      <c r="E2" s="253" t="str">
        <f>[6]Presentacion!C4</f>
        <v>Montevideo</v>
      </c>
      <c r="F2" s="253"/>
      <c r="G2" s="136"/>
      <c r="H2" s="3"/>
    </row>
    <row r="3" spans="1:9">
      <c r="B3" s="5"/>
      <c r="C3" s="255" t="s">
        <v>2</v>
      </c>
      <c r="D3" s="255"/>
      <c r="E3" s="254" t="s">
        <v>3</v>
      </c>
      <c r="F3" s="254"/>
      <c r="G3" s="136"/>
      <c r="H3" s="3"/>
    </row>
    <row r="4" spans="1:9" ht="9.75" customHeight="1" thickBot="1">
      <c r="C4" s="65"/>
      <c r="D4" s="7"/>
      <c r="E4" s="8"/>
      <c r="F4" s="9"/>
      <c r="G4" s="10"/>
    </row>
    <row r="5" spans="1:9" ht="16.5" customHeight="1" thickBot="1">
      <c r="B5" s="11"/>
      <c r="C5" s="72" t="s">
        <v>4</v>
      </c>
      <c r="D5" s="73" t="s">
        <v>5</v>
      </c>
      <c r="E5" s="74"/>
      <c r="F5" s="72" t="s">
        <v>6</v>
      </c>
      <c r="G5" s="73" t="s">
        <v>5</v>
      </c>
      <c r="I5" s="12"/>
    </row>
    <row r="6" spans="1:9" ht="12.75" customHeight="1" thickBot="1">
      <c r="B6" s="11"/>
      <c r="C6" s="75" t="s">
        <v>7</v>
      </c>
      <c r="D6" s="76">
        <f>+[6]E.S.P.!D6</f>
        <v>2021</v>
      </c>
      <c r="E6" s="77"/>
      <c r="F6" s="75" t="s">
        <v>8</v>
      </c>
      <c r="G6" s="76">
        <f>+D6</f>
        <v>2021</v>
      </c>
      <c r="H6" s="12"/>
    </row>
    <row r="7" spans="1:9">
      <c r="B7" s="5" t="s">
        <v>9</v>
      </c>
      <c r="C7" s="78" t="s">
        <v>10</v>
      </c>
      <c r="D7" s="79">
        <v>108813420</v>
      </c>
      <c r="E7" s="77" t="s">
        <v>11</v>
      </c>
      <c r="F7" s="80" t="s">
        <v>12</v>
      </c>
      <c r="G7" s="81">
        <v>22064264</v>
      </c>
    </row>
    <row r="8" spans="1:9">
      <c r="B8" s="5" t="s">
        <v>13</v>
      </c>
      <c r="C8" s="78" t="s">
        <v>14</v>
      </c>
      <c r="D8" s="79">
        <v>7335862</v>
      </c>
      <c r="E8" s="77" t="s">
        <v>15</v>
      </c>
      <c r="F8" s="78" t="s">
        <v>16</v>
      </c>
      <c r="G8" s="82">
        <v>136287699</v>
      </c>
    </row>
    <row r="9" spans="1:9">
      <c r="B9" s="5" t="s">
        <v>17</v>
      </c>
      <c r="C9" s="78" t="s">
        <v>18</v>
      </c>
      <c r="D9" s="79">
        <v>2848218669</v>
      </c>
      <c r="E9" s="77" t="s">
        <v>19</v>
      </c>
      <c r="F9" s="78" t="s">
        <v>20</v>
      </c>
      <c r="G9" s="79">
        <v>122392372</v>
      </c>
    </row>
    <row r="10" spans="1:9">
      <c r="B10" s="5" t="s">
        <v>21</v>
      </c>
      <c r="C10" s="78" t="s">
        <v>22</v>
      </c>
      <c r="D10" s="79">
        <v>296048162</v>
      </c>
      <c r="E10" s="77" t="s">
        <v>23</v>
      </c>
      <c r="F10" s="78" t="s">
        <v>24</v>
      </c>
      <c r="G10" s="79">
        <v>491759101</v>
      </c>
    </row>
    <row r="11" spans="1:9">
      <c r="B11" s="5" t="s">
        <v>25</v>
      </c>
      <c r="C11" s="78" t="s">
        <v>26</v>
      </c>
      <c r="D11" s="79">
        <v>57408638</v>
      </c>
      <c r="E11" s="77" t="s">
        <v>27</v>
      </c>
      <c r="F11" s="78" t="s">
        <v>28</v>
      </c>
      <c r="G11" s="79">
        <v>89325217</v>
      </c>
    </row>
    <row r="12" spans="1:9">
      <c r="B12" s="5" t="s">
        <v>29</v>
      </c>
      <c r="C12" s="78" t="s">
        <v>30</v>
      </c>
      <c r="D12" s="79">
        <v>72227108</v>
      </c>
      <c r="E12" s="77" t="s">
        <v>31</v>
      </c>
      <c r="F12" s="78" t="s">
        <v>32</v>
      </c>
      <c r="G12" s="79">
        <v>194321593</v>
      </c>
    </row>
    <row r="13" spans="1:9">
      <c r="B13" s="5" t="s">
        <v>33</v>
      </c>
      <c r="C13" s="78" t="s">
        <v>34</v>
      </c>
      <c r="D13" s="79">
        <v>0</v>
      </c>
      <c r="E13" s="77" t="s">
        <v>35</v>
      </c>
      <c r="F13" s="78" t="s">
        <v>36</v>
      </c>
      <c r="G13" s="79">
        <v>22479115</v>
      </c>
    </row>
    <row r="14" spans="1:9">
      <c r="A14" s="14"/>
      <c r="B14" s="5" t="s">
        <v>37</v>
      </c>
      <c r="C14" s="78" t="s">
        <v>38</v>
      </c>
      <c r="D14" s="79">
        <v>0</v>
      </c>
      <c r="E14" s="77" t="s">
        <v>39</v>
      </c>
      <c r="F14" s="78" t="s">
        <v>40</v>
      </c>
      <c r="G14" s="79">
        <v>661290387</v>
      </c>
    </row>
    <row r="15" spans="1:9">
      <c r="B15" s="5" t="s">
        <v>41</v>
      </c>
      <c r="C15" s="83" t="s">
        <v>42</v>
      </c>
      <c r="D15" s="79">
        <v>0</v>
      </c>
      <c r="E15" s="77" t="s">
        <v>43</v>
      </c>
      <c r="F15" s="78" t="s">
        <v>44</v>
      </c>
      <c r="G15" s="79">
        <v>210704895</v>
      </c>
    </row>
    <row r="16" spans="1:9">
      <c r="B16" s="5" t="s">
        <v>45</v>
      </c>
      <c r="C16" s="78" t="s">
        <v>46</v>
      </c>
      <c r="D16" s="79">
        <v>0</v>
      </c>
      <c r="E16" s="77" t="s">
        <v>47</v>
      </c>
      <c r="F16" s="78" t="s">
        <v>48</v>
      </c>
      <c r="G16" s="79">
        <v>90767596</v>
      </c>
    </row>
    <row r="17" spans="1:7">
      <c r="B17" s="5" t="s">
        <v>49</v>
      </c>
      <c r="C17" s="78" t="s">
        <v>50</v>
      </c>
      <c r="D17" s="79">
        <v>0</v>
      </c>
      <c r="E17" s="77" t="s">
        <v>51</v>
      </c>
      <c r="F17" s="78" t="s">
        <v>52</v>
      </c>
      <c r="G17" s="79">
        <v>0</v>
      </c>
    </row>
    <row r="18" spans="1:7">
      <c r="A18" s="14"/>
      <c r="B18" s="5" t="s">
        <v>53</v>
      </c>
      <c r="C18" s="78" t="s">
        <v>54</v>
      </c>
      <c r="D18" s="79">
        <v>16610944</v>
      </c>
      <c r="E18" s="77" t="s">
        <v>55</v>
      </c>
      <c r="F18" s="78" t="s">
        <v>56</v>
      </c>
      <c r="G18" s="84">
        <v>70986190</v>
      </c>
    </row>
    <row r="19" spans="1:7" ht="16.5" thickBot="1">
      <c r="A19" s="14"/>
      <c r="B19" s="5" t="s">
        <v>57</v>
      </c>
      <c r="C19" s="78" t="s">
        <v>58</v>
      </c>
      <c r="D19" s="79">
        <v>118285000</v>
      </c>
      <c r="E19" s="77"/>
      <c r="F19" s="85" t="s">
        <v>59</v>
      </c>
      <c r="G19" s="86">
        <f>SUM(G7:G18)</f>
        <v>2112378429</v>
      </c>
    </row>
    <row r="20" spans="1:7" ht="16.5" thickBot="1">
      <c r="B20" s="5"/>
      <c r="C20" s="85" t="s">
        <v>60</v>
      </c>
      <c r="D20" s="86">
        <f>SUM(D7:D19)</f>
        <v>3524947803</v>
      </c>
      <c r="E20" s="77" t="s">
        <v>61</v>
      </c>
      <c r="F20" s="80" t="s">
        <v>62</v>
      </c>
      <c r="G20" s="81">
        <v>1008298</v>
      </c>
    </row>
    <row r="21" spans="1:7">
      <c r="B21" s="5"/>
      <c r="C21" s="87" t="s">
        <v>63</v>
      </c>
      <c r="D21" s="88">
        <f>SUM(D22:D28)</f>
        <v>23327784</v>
      </c>
      <c r="E21" s="77" t="s">
        <v>64</v>
      </c>
      <c r="F21" s="78" t="s">
        <v>65</v>
      </c>
      <c r="G21" s="79">
        <v>46617272</v>
      </c>
    </row>
    <row r="22" spans="1:7">
      <c r="B22" s="5" t="s">
        <v>66</v>
      </c>
      <c r="C22" s="78" t="s">
        <v>67</v>
      </c>
      <c r="D22" s="79">
        <v>9436744</v>
      </c>
      <c r="E22" s="77" t="s">
        <v>68</v>
      </c>
      <c r="F22" s="78" t="s">
        <v>69</v>
      </c>
      <c r="G22" s="79">
        <v>12224093</v>
      </c>
    </row>
    <row r="23" spans="1:7">
      <c r="B23" s="5" t="s">
        <v>70</v>
      </c>
      <c r="C23" s="78" t="s">
        <v>71</v>
      </c>
      <c r="D23" s="79">
        <v>4692417</v>
      </c>
      <c r="E23" s="77" t="s">
        <v>72</v>
      </c>
      <c r="F23" s="78" t="s">
        <v>73</v>
      </c>
      <c r="G23" s="79">
        <v>48925924</v>
      </c>
    </row>
    <row r="24" spans="1:7">
      <c r="B24" s="5" t="s">
        <v>74</v>
      </c>
      <c r="C24" s="78" t="s">
        <v>75</v>
      </c>
      <c r="D24" s="79">
        <v>3856429</v>
      </c>
      <c r="E24" s="77" t="s">
        <v>76</v>
      </c>
      <c r="F24" s="78" t="s">
        <v>77</v>
      </c>
      <c r="G24" s="79">
        <v>0</v>
      </c>
    </row>
    <row r="25" spans="1:7">
      <c r="B25" s="5" t="s">
        <v>78</v>
      </c>
      <c r="C25" s="78" t="s">
        <v>79</v>
      </c>
      <c r="D25" s="79">
        <v>4092185</v>
      </c>
      <c r="E25" s="77" t="s">
        <v>80</v>
      </c>
      <c r="F25" s="78" t="s">
        <v>81</v>
      </c>
      <c r="G25" s="79">
        <v>0</v>
      </c>
    </row>
    <row r="26" spans="1:7">
      <c r="B26" s="5" t="s">
        <v>82</v>
      </c>
      <c r="C26" s="78" t="s">
        <v>83</v>
      </c>
      <c r="D26" s="79">
        <v>290533</v>
      </c>
      <c r="E26" s="77" t="s">
        <v>84</v>
      </c>
      <c r="F26" s="78" t="s">
        <v>85</v>
      </c>
      <c r="G26" s="84">
        <v>3826091</v>
      </c>
    </row>
    <row r="27" spans="1:7" ht="13.5" customHeight="1" thickBot="1">
      <c r="B27" s="5" t="s">
        <v>86</v>
      </c>
      <c r="C27" s="78" t="s">
        <v>87</v>
      </c>
      <c r="D27" s="79">
        <v>190437</v>
      </c>
      <c r="E27" s="77"/>
      <c r="F27" s="85" t="s">
        <v>88</v>
      </c>
      <c r="G27" s="86">
        <f>SUM(G20:G26)</f>
        <v>112601678</v>
      </c>
    </row>
    <row r="28" spans="1:7">
      <c r="B28" s="5" t="s">
        <v>89</v>
      </c>
      <c r="C28" s="78" t="s">
        <v>90</v>
      </c>
      <c r="D28" s="79">
        <v>769039</v>
      </c>
      <c r="E28" s="77" t="s">
        <v>91</v>
      </c>
      <c r="F28" s="80" t="s">
        <v>92</v>
      </c>
      <c r="G28" s="81">
        <v>139034958</v>
      </c>
    </row>
    <row r="29" spans="1:7">
      <c r="B29" s="5"/>
      <c r="C29" s="89" t="s">
        <v>93</v>
      </c>
      <c r="D29" s="88">
        <f>SUM(D30:D34)</f>
        <v>266564823</v>
      </c>
      <c r="E29" s="77" t="s">
        <v>94</v>
      </c>
      <c r="F29" s="78" t="s">
        <v>95</v>
      </c>
      <c r="G29" s="79">
        <v>65031289</v>
      </c>
    </row>
    <row r="30" spans="1:7">
      <c r="B30" s="5" t="s">
        <v>96</v>
      </c>
      <c r="C30" s="78" t="s">
        <v>97</v>
      </c>
      <c r="D30" s="79">
        <v>178248765</v>
      </c>
      <c r="E30" s="77" t="s">
        <v>98</v>
      </c>
      <c r="F30" s="78" t="s">
        <v>99</v>
      </c>
      <c r="G30" s="79">
        <v>14546778</v>
      </c>
    </row>
    <row r="31" spans="1:7">
      <c r="B31" s="5" t="s">
        <v>100</v>
      </c>
      <c r="C31" s="78" t="s">
        <v>101</v>
      </c>
      <c r="D31" s="79">
        <v>15853474</v>
      </c>
      <c r="E31" s="77" t="s">
        <v>102</v>
      </c>
      <c r="F31" s="78" t="s">
        <v>103</v>
      </c>
      <c r="G31" s="84">
        <v>7327933</v>
      </c>
    </row>
    <row r="32" spans="1:7" ht="16.5" thickBot="1">
      <c r="B32" s="5" t="s">
        <v>104</v>
      </c>
      <c r="C32" s="78" t="s">
        <v>105</v>
      </c>
      <c r="D32" s="79">
        <v>58778931</v>
      </c>
      <c r="E32" s="77"/>
      <c r="F32" s="85" t="s">
        <v>106</v>
      </c>
      <c r="G32" s="86">
        <f>SUM(G28:G31)</f>
        <v>225940958</v>
      </c>
    </row>
    <row r="33" spans="2:7">
      <c r="B33" s="5" t="s">
        <v>107</v>
      </c>
      <c r="C33" s="78" t="s">
        <v>108</v>
      </c>
      <c r="D33" s="79">
        <v>5052160</v>
      </c>
      <c r="E33" s="77"/>
      <c r="F33" s="89" t="s">
        <v>109</v>
      </c>
      <c r="G33" s="88">
        <f>SUM(G34:G39)</f>
        <v>197670530</v>
      </c>
    </row>
    <row r="34" spans="2:7">
      <c r="B34" s="5" t="s">
        <v>110</v>
      </c>
      <c r="C34" s="78" t="s">
        <v>111</v>
      </c>
      <c r="D34" s="79">
        <v>8631493</v>
      </c>
      <c r="E34" s="77" t="s">
        <v>112</v>
      </c>
      <c r="F34" s="78" t="s">
        <v>113</v>
      </c>
      <c r="G34" s="79">
        <v>7706862</v>
      </c>
    </row>
    <row r="35" spans="2:7" ht="16.5" thickBot="1">
      <c r="B35" s="5"/>
      <c r="C35" s="85" t="s">
        <v>114</v>
      </c>
      <c r="D35" s="86">
        <f>+D21+D29</f>
        <v>289892607</v>
      </c>
      <c r="E35" s="77" t="s">
        <v>115</v>
      </c>
      <c r="F35" s="78" t="s">
        <v>116</v>
      </c>
      <c r="G35" s="79">
        <v>20817521</v>
      </c>
    </row>
    <row r="36" spans="2:7">
      <c r="B36" s="5" t="s">
        <v>117</v>
      </c>
      <c r="C36" s="78" t="s">
        <v>118</v>
      </c>
      <c r="D36" s="79">
        <v>3076986</v>
      </c>
      <c r="E36" s="77" t="s">
        <v>119</v>
      </c>
      <c r="F36" s="78" t="s">
        <v>517</v>
      </c>
      <c r="G36" s="79">
        <v>5601989</v>
      </c>
    </row>
    <row r="37" spans="2:7">
      <c r="B37" s="5" t="s">
        <v>120</v>
      </c>
      <c r="C37" s="78" t="s">
        <v>121</v>
      </c>
      <c r="D37" s="79">
        <v>150979005</v>
      </c>
      <c r="E37" s="77" t="s">
        <v>122</v>
      </c>
      <c r="F37" s="78" t="s">
        <v>123</v>
      </c>
      <c r="G37" s="79">
        <v>15639267</v>
      </c>
    </row>
    <row r="38" spans="2:7">
      <c r="B38" s="5" t="s">
        <v>124</v>
      </c>
      <c r="C38" s="78" t="s">
        <v>125</v>
      </c>
      <c r="D38" s="79">
        <v>57584576</v>
      </c>
      <c r="E38" s="77" t="s">
        <v>126</v>
      </c>
      <c r="F38" s="78" t="s">
        <v>127</v>
      </c>
      <c r="G38" s="79">
        <v>25258136</v>
      </c>
    </row>
    <row r="39" spans="2:7">
      <c r="B39" s="5" t="s">
        <v>128</v>
      </c>
      <c r="C39" s="78" t="s">
        <v>129</v>
      </c>
      <c r="D39" s="79">
        <v>9839957</v>
      </c>
      <c r="E39" s="77" t="s">
        <v>130</v>
      </c>
      <c r="F39" s="78" t="s">
        <v>131</v>
      </c>
      <c r="G39" s="79">
        <v>122646755</v>
      </c>
    </row>
    <row r="40" spans="2:7">
      <c r="B40" s="5" t="s">
        <v>132</v>
      </c>
      <c r="C40" s="78" t="s">
        <v>133</v>
      </c>
      <c r="D40" s="79">
        <v>34889441</v>
      </c>
      <c r="E40" s="77"/>
      <c r="F40" s="90" t="s">
        <v>134</v>
      </c>
      <c r="G40" s="91">
        <f>SUM(G41:G46)</f>
        <v>78200582</v>
      </c>
    </row>
    <row r="41" spans="2:7">
      <c r="B41" s="5" t="s">
        <v>135</v>
      </c>
      <c r="C41" s="78" t="s">
        <v>136</v>
      </c>
      <c r="D41" s="79">
        <v>1378966</v>
      </c>
      <c r="E41" s="77" t="s">
        <v>137</v>
      </c>
      <c r="F41" s="78" t="s">
        <v>138</v>
      </c>
      <c r="G41" s="79">
        <v>5458516</v>
      </c>
    </row>
    <row r="42" spans="2:7">
      <c r="B42" s="5" t="s">
        <v>139</v>
      </c>
      <c r="C42" s="78" t="s">
        <v>140</v>
      </c>
      <c r="D42" s="79">
        <v>36592170</v>
      </c>
      <c r="E42" s="77" t="s">
        <v>141</v>
      </c>
      <c r="F42" s="78" t="s">
        <v>142</v>
      </c>
      <c r="G42" s="79">
        <v>220892</v>
      </c>
    </row>
    <row r="43" spans="2:7">
      <c r="B43" s="5" t="s">
        <v>143</v>
      </c>
      <c r="C43" s="78" t="s">
        <v>144</v>
      </c>
      <c r="D43" s="79">
        <v>3897563</v>
      </c>
      <c r="E43" s="77" t="s">
        <v>145</v>
      </c>
      <c r="F43" s="78" t="s">
        <v>146</v>
      </c>
      <c r="G43" s="79">
        <v>10399392</v>
      </c>
    </row>
    <row r="44" spans="2:7">
      <c r="B44" s="5" t="s">
        <v>147</v>
      </c>
      <c r="C44" s="78" t="s">
        <v>148</v>
      </c>
      <c r="D44" s="79">
        <v>0</v>
      </c>
      <c r="E44" s="77" t="s">
        <v>149</v>
      </c>
      <c r="F44" s="78" t="s">
        <v>150</v>
      </c>
      <c r="G44" s="79">
        <v>6796267</v>
      </c>
    </row>
    <row r="45" spans="2:7">
      <c r="B45" s="5" t="s">
        <v>151</v>
      </c>
      <c r="C45" s="78" t="s">
        <v>152</v>
      </c>
      <c r="D45" s="79">
        <v>29770293</v>
      </c>
      <c r="E45" s="77" t="s">
        <v>153</v>
      </c>
      <c r="F45" s="78" t="s">
        <v>154</v>
      </c>
      <c r="G45" s="79">
        <v>2288347</v>
      </c>
    </row>
    <row r="46" spans="2:7">
      <c r="B46" s="5" t="s">
        <v>155</v>
      </c>
      <c r="C46" s="78" t="s">
        <v>156</v>
      </c>
      <c r="D46" s="79">
        <v>10244812</v>
      </c>
      <c r="E46" s="77" t="s">
        <v>157</v>
      </c>
      <c r="F46" s="78" t="s">
        <v>158</v>
      </c>
      <c r="G46" s="79">
        <v>53037168</v>
      </c>
    </row>
    <row r="47" spans="2:7" ht="16.5" thickBot="1">
      <c r="B47" s="5"/>
      <c r="C47" s="85" t="s">
        <v>159</v>
      </c>
      <c r="D47" s="86">
        <f>SUM(D36:D46)</f>
        <v>338253769</v>
      </c>
      <c r="E47" s="77" t="s">
        <v>160</v>
      </c>
      <c r="F47" s="78" t="s">
        <v>161</v>
      </c>
      <c r="G47" s="84">
        <v>9251432</v>
      </c>
    </row>
    <row r="48" spans="2:7" ht="16.5" thickBot="1">
      <c r="B48" s="5"/>
      <c r="C48" s="92" t="s">
        <v>162</v>
      </c>
      <c r="D48" s="93"/>
      <c r="E48" s="77"/>
      <c r="F48" s="85" t="s">
        <v>163</v>
      </c>
      <c r="G48" s="94">
        <f>+G33+G40+G47</f>
        <v>285122544</v>
      </c>
    </row>
    <row r="49" spans="2:7">
      <c r="B49" s="5" t="s">
        <v>164</v>
      </c>
      <c r="C49" s="95" t="s">
        <v>165</v>
      </c>
      <c r="D49" s="96">
        <v>0</v>
      </c>
      <c r="E49" s="77" t="s">
        <v>166</v>
      </c>
      <c r="F49" s="80" t="s">
        <v>167</v>
      </c>
      <c r="G49" s="81">
        <v>132844572</v>
      </c>
    </row>
    <row r="50" spans="2:7">
      <c r="B50" s="5" t="s">
        <v>168</v>
      </c>
      <c r="C50" s="78" t="s">
        <v>162</v>
      </c>
      <c r="D50" s="79">
        <v>201555568</v>
      </c>
      <c r="E50" s="77" t="s">
        <v>169</v>
      </c>
      <c r="F50" s="78" t="s">
        <v>170</v>
      </c>
      <c r="G50" s="79">
        <v>146351636</v>
      </c>
    </row>
    <row r="51" spans="2:7">
      <c r="B51" s="5" t="s">
        <v>171</v>
      </c>
      <c r="C51" s="78" t="s">
        <v>172</v>
      </c>
      <c r="D51" s="84">
        <v>5311969</v>
      </c>
      <c r="E51" s="77" t="s">
        <v>173</v>
      </c>
      <c r="F51" s="78" t="s">
        <v>174</v>
      </c>
      <c r="G51" s="79">
        <v>217879</v>
      </c>
    </row>
    <row r="52" spans="2:7" ht="16.5" thickBot="1">
      <c r="B52" s="11"/>
      <c r="C52" s="85" t="s">
        <v>175</v>
      </c>
      <c r="D52" s="86">
        <f>SUM(D49:D51)</f>
        <v>206867537</v>
      </c>
      <c r="E52" s="77" t="s">
        <v>176</v>
      </c>
      <c r="F52" s="78" t="s">
        <v>177</v>
      </c>
      <c r="G52" s="79">
        <v>4964906</v>
      </c>
    </row>
    <row r="53" spans="2:7" ht="16.5" thickBot="1">
      <c r="B53" s="5"/>
      <c r="C53" s="75" t="s">
        <v>178</v>
      </c>
      <c r="D53" s="97">
        <f>D20+D35+D47+D52</f>
        <v>4359961716</v>
      </c>
      <c r="E53" s="77" t="s">
        <v>179</v>
      </c>
      <c r="F53" s="78" t="s">
        <v>180</v>
      </c>
      <c r="G53" s="79">
        <v>21830230</v>
      </c>
    </row>
    <row r="54" spans="2:7">
      <c r="C54" s="98"/>
      <c r="D54" s="99"/>
      <c r="E54" s="77" t="s">
        <v>181</v>
      </c>
      <c r="F54" s="78" t="s">
        <v>182</v>
      </c>
      <c r="G54" s="79">
        <v>5420836</v>
      </c>
    </row>
    <row r="55" spans="2:7">
      <c r="C55" s="100" t="s">
        <v>183</v>
      </c>
      <c r="D55" s="101"/>
      <c r="E55" s="77" t="s">
        <v>184</v>
      </c>
      <c r="F55" s="78" t="s">
        <v>185</v>
      </c>
      <c r="G55" s="79">
        <v>11256854</v>
      </c>
    </row>
    <row r="56" spans="2:7">
      <c r="B56" s="5" t="s">
        <v>186</v>
      </c>
      <c r="C56" s="102" t="s">
        <v>187</v>
      </c>
      <c r="D56" s="79">
        <v>0</v>
      </c>
      <c r="E56" s="77" t="s">
        <v>188</v>
      </c>
      <c r="F56" s="78" t="s">
        <v>189</v>
      </c>
      <c r="G56" s="84">
        <v>10414602</v>
      </c>
    </row>
    <row r="57" spans="2:7" ht="14.25" customHeight="1" thickBot="1">
      <c r="B57" s="5" t="s">
        <v>190</v>
      </c>
      <c r="C57" s="102" t="s">
        <v>191</v>
      </c>
      <c r="D57" s="79">
        <v>-23037636</v>
      </c>
      <c r="E57" s="77"/>
      <c r="F57" s="85" t="s">
        <v>192</v>
      </c>
      <c r="G57" s="86">
        <f>SUM(G49:G56)</f>
        <v>333301515</v>
      </c>
    </row>
    <row r="58" spans="2:7">
      <c r="B58" s="5" t="s">
        <v>193</v>
      </c>
      <c r="C58" s="102" t="s">
        <v>194</v>
      </c>
      <c r="D58" s="79"/>
      <c r="E58" s="77" t="s">
        <v>195</v>
      </c>
      <c r="F58" s="80" t="s">
        <v>196</v>
      </c>
      <c r="G58" s="81">
        <v>89030602</v>
      </c>
    </row>
    <row r="59" spans="2:7">
      <c r="B59" s="5" t="s">
        <v>197</v>
      </c>
      <c r="C59" s="78" t="s">
        <v>198</v>
      </c>
      <c r="D59" s="84">
        <v>-977772</v>
      </c>
      <c r="E59" s="77" t="s">
        <v>199</v>
      </c>
      <c r="F59" s="78" t="s">
        <v>200</v>
      </c>
      <c r="G59" s="79">
        <v>29436703</v>
      </c>
    </row>
    <row r="60" spans="2:7" ht="16.5" thickBot="1">
      <c r="B60" s="5"/>
      <c r="C60" s="85" t="s">
        <v>201</v>
      </c>
      <c r="D60" s="86">
        <f>SUM(D56:D59)</f>
        <v>-24015408</v>
      </c>
      <c r="E60" s="77" t="s">
        <v>202</v>
      </c>
      <c r="F60" s="78" t="s">
        <v>203</v>
      </c>
      <c r="G60" s="79">
        <v>0</v>
      </c>
    </row>
    <row r="61" spans="2:7" ht="16.5" thickBot="1">
      <c r="B61" s="15"/>
      <c r="C61" s="72" t="s">
        <v>204</v>
      </c>
      <c r="D61" s="103">
        <f>D53+D60</f>
        <v>4335946308</v>
      </c>
      <c r="E61" s="77" t="s">
        <v>205</v>
      </c>
      <c r="F61" s="78" t="s">
        <v>206</v>
      </c>
      <c r="G61" s="79">
        <v>0</v>
      </c>
    </row>
    <row r="62" spans="2:7">
      <c r="B62" s="16"/>
      <c r="C62" s="104"/>
      <c r="D62" s="104"/>
      <c r="E62" s="77" t="s">
        <v>207</v>
      </c>
      <c r="F62" s="78" t="s">
        <v>208</v>
      </c>
      <c r="G62" s="79">
        <v>0</v>
      </c>
    </row>
    <row r="63" spans="2:7">
      <c r="B63" s="17"/>
      <c r="C63" s="105" t="s">
        <v>8</v>
      </c>
      <c r="D63" s="105"/>
      <c r="E63" s="77" t="s">
        <v>209</v>
      </c>
      <c r="F63" s="78" t="s">
        <v>210</v>
      </c>
      <c r="G63" s="79">
        <v>12189263</v>
      </c>
    </row>
    <row r="64" spans="2:7">
      <c r="B64" s="18" t="s">
        <v>211</v>
      </c>
      <c r="C64" s="106" t="s">
        <v>212</v>
      </c>
      <c r="D64" s="106">
        <f>[6]Amortizaciones!D6</f>
        <v>37375913</v>
      </c>
      <c r="E64" s="77" t="s">
        <v>213</v>
      </c>
      <c r="F64" s="78" t="s">
        <v>214</v>
      </c>
      <c r="G64" s="79">
        <v>15913817</v>
      </c>
    </row>
    <row r="65" spans="2:7">
      <c r="B65" s="18" t="s">
        <v>215</v>
      </c>
      <c r="C65" s="106" t="s">
        <v>216</v>
      </c>
      <c r="D65" s="106">
        <f>[6]Amortizaciones!D7</f>
        <v>0</v>
      </c>
      <c r="E65" s="77" t="s">
        <v>217</v>
      </c>
      <c r="F65" s="78" t="s">
        <v>218</v>
      </c>
      <c r="G65" s="79">
        <v>9004870</v>
      </c>
    </row>
    <row r="66" spans="2:7">
      <c r="B66" s="18" t="s">
        <v>219</v>
      </c>
      <c r="C66" s="106" t="s">
        <v>220</v>
      </c>
      <c r="D66" s="106">
        <f>[6]Amortizaciones!D8</f>
        <v>13160446</v>
      </c>
      <c r="E66" s="77" t="s">
        <v>221</v>
      </c>
      <c r="F66" s="78" t="s">
        <v>222</v>
      </c>
      <c r="G66" s="79">
        <v>44847972</v>
      </c>
    </row>
    <row r="67" spans="2:7">
      <c r="B67" s="18" t="s">
        <v>223</v>
      </c>
      <c r="C67" s="106" t="s">
        <v>224</v>
      </c>
      <c r="D67" s="106">
        <f>[6]Amortizaciones!D9</f>
        <v>0</v>
      </c>
      <c r="E67" s="77" t="s">
        <v>225</v>
      </c>
      <c r="F67" s="78" t="s">
        <v>226</v>
      </c>
      <c r="G67" s="79">
        <v>33476249</v>
      </c>
    </row>
    <row r="68" spans="2:7">
      <c r="B68" s="18" t="s">
        <v>227</v>
      </c>
      <c r="C68" s="106" t="s">
        <v>228</v>
      </c>
      <c r="D68" s="106">
        <f>[6]Amortizaciones!D10</f>
        <v>3250135</v>
      </c>
      <c r="E68" s="77" t="s">
        <v>229</v>
      </c>
      <c r="F68" s="78" t="s">
        <v>230</v>
      </c>
      <c r="G68" s="79">
        <v>0</v>
      </c>
    </row>
    <row r="69" spans="2:7">
      <c r="B69" s="18" t="s">
        <v>231</v>
      </c>
      <c r="C69" s="106" t="s">
        <v>232</v>
      </c>
      <c r="D69" s="106">
        <f>[6]Amortizaciones!D11</f>
        <v>1848106</v>
      </c>
      <c r="E69" s="77" t="s">
        <v>233</v>
      </c>
      <c r="F69" s="78" t="s">
        <v>234</v>
      </c>
      <c r="G69" s="79">
        <v>20758148</v>
      </c>
    </row>
    <row r="70" spans="2:7">
      <c r="B70" s="18" t="s">
        <v>235</v>
      </c>
      <c r="C70" s="106" t="s">
        <v>236</v>
      </c>
      <c r="D70" s="106">
        <f>[6]Amortizaciones!D12</f>
        <v>3619510</v>
      </c>
      <c r="E70" s="77" t="s">
        <v>237</v>
      </c>
      <c r="F70" s="78" t="s">
        <v>238</v>
      </c>
      <c r="G70" s="79">
        <v>2460370</v>
      </c>
    </row>
    <row r="71" spans="2:7">
      <c r="B71" s="18" t="s">
        <v>239</v>
      </c>
      <c r="C71" s="106" t="s">
        <v>240</v>
      </c>
      <c r="D71" s="106">
        <f>[6]Amortizaciones!D13</f>
        <v>0</v>
      </c>
      <c r="E71" s="77" t="s">
        <v>241</v>
      </c>
      <c r="F71" s="78" t="s">
        <v>242</v>
      </c>
      <c r="G71" s="79">
        <v>0</v>
      </c>
    </row>
    <row r="72" spans="2:7">
      <c r="B72" s="18" t="s">
        <v>243</v>
      </c>
      <c r="C72" s="106" t="s">
        <v>244</v>
      </c>
      <c r="D72" s="106">
        <f>[6]Amortizaciones!D14</f>
        <v>8742293</v>
      </c>
      <c r="E72" s="77" t="s">
        <v>245</v>
      </c>
      <c r="F72" s="78" t="s">
        <v>246</v>
      </c>
      <c r="G72" s="79">
        <v>0</v>
      </c>
    </row>
    <row r="73" spans="2:7">
      <c r="B73" s="18" t="s">
        <v>247</v>
      </c>
      <c r="C73" s="106" t="s">
        <v>248</v>
      </c>
      <c r="D73" s="106">
        <f>[6]Amortizaciones!D15</f>
        <v>0</v>
      </c>
      <c r="E73" s="77" t="s">
        <v>249</v>
      </c>
      <c r="F73" s="78" t="s">
        <v>250</v>
      </c>
      <c r="G73" s="79">
        <v>2034156</v>
      </c>
    </row>
    <row r="74" spans="2:7">
      <c r="B74" s="18" t="s">
        <v>251</v>
      </c>
      <c r="C74" s="106" t="s">
        <v>252</v>
      </c>
      <c r="D74" s="106">
        <f>[6]Amortizaciones!D16</f>
        <v>2046320</v>
      </c>
      <c r="E74" s="77" t="s">
        <v>253</v>
      </c>
      <c r="F74" s="78" t="s">
        <v>254</v>
      </c>
      <c r="G74" s="79">
        <v>9523799</v>
      </c>
    </row>
    <row r="75" spans="2:7">
      <c r="B75" s="18" t="s">
        <v>255</v>
      </c>
      <c r="C75" s="106" t="s">
        <v>256</v>
      </c>
      <c r="D75" s="106">
        <f>[6]Amortizaciones!D17</f>
        <v>0</v>
      </c>
      <c r="E75" s="77" t="s">
        <v>257</v>
      </c>
      <c r="F75" s="78" t="s">
        <v>258</v>
      </c>
      <c r="G75" s="79">
        <v>8827296</v>
      </c>
    </row>
    <row r="76" spans="2:7">
      <c r="B76" s="18" t="s">
        <v>259</v>
      </c>
      <c r="C76" s="106" t="s">
        <v>260</v>
      </c>
      <c r="D76" s="106">
        <f>[6]Amortizaciones!D18</f>
        <v>0</v>
      </c>
      <c r="E76" s="77" t="s">
        <v>261</v>
      </c>
      <c r="F76" s="78" t="s">
        <v>262</v>
      </c>
      <c r="G76" s="79">
        <v>68968424</v>
      </c>
    </row>
    <row r="77" spans="2:7">
      <c r="B77" s="18" t="s">
        <v>263</v>
      </c>
      <c r="C77" s="106" t="s">
        <v>264</v>
      </c>
      <c r="D77" s="106">
        <f>SUM(D64:D76)</f>
        <v>70042723</v>
      </c>
      <c r="E77" s="77" t="s">
        <v>265</v>
      </c>
      <c r="F77" s="78" t="s">
        <v>266</v>
      </c>
      <c r="G77" s="79">
        <v>90572524</v>
      </c>
    </row>
    <row r="78" spans="2:7">
      <c r="B78" s="18"/>
      <c r="C78" s="106"/>
      <c r="D78" s="106"/>
      <c r="E78" s="77" t="s">
        <v>267</v>
      </c>
      <c r="F78" s="78" t="s">
        <v>268</v>
      </c>
      <c r="G78" s="84">
        <v>14722698</v>
      </c>
    </row>
    <row r="79" spans="2:7" ht="16.5" thickBot="1">
      <c r="B79" s="18"/>
      <c r="C79" s="105" t="s">
        <v>269</v>
      </c>
      <c r="D79" s="107"/>
      <c r="E79" s="77"/>
      <c r="F79" s="85" t="s">
        <v>270</v>
      </c>
      <c r="G79" s="86">
        <f>SUM(G58:G78)</f>
        <v>451766891</v>
      </c>
    </row>
    <row r="80" spans="2:7">
      <c r="B80" s="18" t="s">
        <v>271</v>
      </c>
      <c r="C80" s="106" t="s">
        <v>236</v>
      </c>
      <c r="D80" s="106">
        <f>[6]Amortizaciones!D22</f>
        <v>261841</v>
      </c>
      <c r="E80" s="77" t="s">
        <v>272</v>
      </c>
      <c r="F80" s="80" t="s">
        <v>273</v>
      </c>
      <c r="G80" s="81">
        <v>1147372</v>
      </c>
    </row>
    <row r="81" spans="2:7">
      <c r="B81" s="18" t="s">
        <v>274</v>
      </c>
      <c r="C81" s="106" t="s">
        <v>240</v>
      </c>
      <c r="D81" s="106">
        <f>[6]Amortizaciones!D23</f>
        <v>0</v>
      </c>
      <c r="E81" s="77" t="s">
        <v>275</v>
      </c>
      <c r="F81" s="78" t="s">
        <v>276</v>
      </c>
      <c r="G81" s="79">
        <v>1147140</v>
      </c>
    </row>
    <row r="82" spans="2:7">
      <c r="B82" s="18" t="s">
        <v>277</v>
      </c>
      <c r="C82" s="106" t="s">
        <v>244</v>
      </c>
      <c r="D82" s="106">
        <f>[6]Amortizaciones!D24</f>
        <v>805247</v>
      </c>
      <c r="E82" s="77" t="s">
        <v>278</v>
      </c>
      <c r="F82" s="78" t="s">
        <v>279</v>
      </c>
      <c r="G82" s="79">
        <v>4159514</v>
      </c>
    </row>
    <row r="83" spans="2:7">
      <c r="B83" s="18" t="s">
        <v>280</v>
      </c>
      <c r="C83" s="106" t="s">
        <v>248</v>
      </c>
      <c r="D83" s="106">
        <f>[6]Amortizaciones!D25</f>
        <v>0</v>
      </c>
      <c r="E83" s="77" t="s">
        <v>281</v>
      </c>
      <c r="F83" s="78" t="s">
        <v>282</v>
      </c>
      <c r="G83" s="79">
        <v>7511899</v>
      </c>
    </row>
    <row r="84" spans="2:7">
      <c r="B84" s="18" t="s">
        <v>283</v>
      </c>
      <c r="C84" s="106" t="s">
        <v>284</v>
      </c>
      <c r="D84" s="106">
        <v>0</v>
      </c>
      <c r="E84" s="77" t="s">
        <v>285</v>
      </c>
      <c r="F84" s="78" t="s">
        <v>286</v>
      </c>
      <c r="G84" s="79">
        <v>20987787</v>
      </c>
    </row>
    <row r="85" spans="2:7">
      <c r="B85" s="18" t="s">
        <v>287</v>
      </c>
      <c r="C85" s="106" t="s">
        <v>288</v>
      </c>
      <c r="D85" s="106">
        <f>[6]Amortizaciones!D27</f>
        <v>0</v>
      </c>
      <c r="E85" s="77" t="s">
        <v>289</v>
      </c>
      <c r="F85" s="78" t="s">
        <v>290</v>
      </c>
      <c r="G85" s="79">
        <v>5816583</v>
      </c>
    </row>
    <row r="86" spans="2:7" ht="13.5" customHeight="1">
      <c r="B86" s="18" t="s">
        <v>291</v>
      </c>
      <c r="C86" s="106" t="s">
        <v>292</v>
      </c>
      <c r="D86" s="106">
        <f>[6]Amortizaciones!D28</f>
        <v>0</v>
      </c>
      <c r="E86" s="77" t="s">
        <v>293</v>
      </c>
      <c r="F86" s="78" t="s">
        <v>294</v>
      </c>
      <c r="G86" s="79">
        <v>2284452</v>
      </c>
    </row>
    <row r="87" spans="2:7" ht="13.5" customHeight="1">
      <c r="B87" s="18" t="s">
        <v>295</v>
      </c>
      <c r="C87" s="106" t="s">
        <v>296</v>
      </c>
      <c r="D87" s="106">
        <f>[6]Amortizaciones!D29</f>
        <v>0</v>
      </c>
      <c r="E87" s="77" t="s">
        <v>297</v>
      </c>
      <c r="F87" s="78" t="s">
        <v>298</v>
      </c>
      <c r="G87" s="79">
        <v>19300144</v>
      </c>
    </row>
    <row r="88" spans="2:7" ht="13.5" customHeight="1">
      <c r="B88" s="18" t="s">
        <v>299</v>
      </c>
      <c r="C88" s="106" t="s">
        <v>300</v>
      </c>
      <c r="D88" s="106">
        <f>[6]Amortizaciones!D30</f>
        <v>664004</v>
      </c>
      <c r="E88" s="77" t="s">
        <v>301</v>
      </c>
      <c r="F88" s="78" t="s">
        <v>302</v>
      </c>
      <c r="G88" s="79">
        <v>1108600</v>
      </c>
    </row>
    <row r="89" spans="2:7">
      <c r="B89" s="18" t="s">
        <v>303</v>
      </c>
      <c r="C89" s="106" t="s">
        <v>212</v>
      </c>
      <c r="D89" s="106">
        <f>[6]Amortizaciones!D31</f>
        <v>1564601</v>
      </c>
      <c r="E89" s="77" t="s">
        <v>304</v>
      </c>
      <c r="F89" s="78" t="s">
        <v>305</v>
      </c>
      <c r="G89" s="79">
        <v>165507401</v>
      </c>
    </row>
    <row r="90" spans="2:7" ht="14.25" customHeight="1">
      <c r="B90" s="18" t="s">
        <v>306</v>
      </c>
      <c r="C90" s="106" t="s">
        <v>228</v>
      </c>
      <c r="D90" s="106">
        <f>[6]Amortizaciones!D32</f>
        <v>0</v>
      </c>
      <c r="E90" s="77" t="s">
        <v>307</v>
      </c>
      <c r="F90" s="78" t="s">
        <v>308</v>
      </c>
      <c r="G90" s="79">
        <v>0</v>
      </c>
    </row>
    <row r="91" spans="2:7" ht="14.25" customHeight="1">
      <c r="B91" s="18" t="s">
        <v>309</v>
      </c>
      <c r="C91" s="106" t="s">
        <v>310</v>
      </c>
      <c r="D91" s="106">
        <f>SUM(D80:D90)</f>
        <v>3295693</v>
      </c>
      <c r="E91" s="108" t="s">
        <v>311</v>
      </c>
      <c r="F91" s="78" t="s">
        <v>312</v>
      </c>
      <c r="G91" s="79">
        <v>0</v>
      </c>
    </row>
    <row r="92" spans="2:7" ht="14.25" customHeight="1">
      <c r="B92" s="18"/>
      <c r="C92" s="109" t="s">
        <v>313</v>
      </c>
      <c r="D92" s="106">
        <f>D77+D91</f>
        <v>73338416</v>
      </c>
      <c r="E92" s="108" t="s">
        <v>314</v>
      </c>
      <c r="F92" s="78" t="s">
        <v>315</v>
      </c>
      <c r="G92" s="79">
        <v>0</v>
      </c>
    </row>
    <row r="93" spans="2:7">
      <c r="C93" s="104"/>
      <c r="D93" s="104"/>
      <c r="E93" s="108" t="s">
        <v>316</v>
      </c>
      <c r="F93" s="78" t="s">
        <v>317</v>
      </c>
      <c r="G93" s="79">
        <v>6538327</v>
      </c>
    </row>
    <row r="94" spans="2:7">
      <c r="C94" s="104"/>
      <c r="D94" s="104"/>
      <c r="E94" s="108" t="s">
        <v>318</v>
      </c>
      <c r="F94" s="78" t="s">
        <v>319</v>
      </c>
      <c r="G94" s="84">
        <v>7985243</v>
      </c>
    </row>
    <row r="95" spans="2:7" ht="13.5" customHeight="1" thickBot="1">
      <c r="C95" s="104"/>
      <c r="D95" s="104"/>
      <c r="E95" s="77"/>
      <c r="F95" s="85" t="s">
        <v>320</v>
      </c>
      <c r="G95" s="86">
        <f>SUM(G80:G94)</f>
        <v>243494462</v>
      </c>
    </row>
    <row r="96" spans="2:7">
      <c r="C96" s="104"/>
      <c r="D96" s="104"/>
      <c r="E96" s="108" t="s">
        <v>321</v>
      </c>
      <c r="F96" s="80" t="s">
        <v>322</v>
      </c>
      <c r="G96" s="81">
        <v>54844929</v>
      </c>
    </row>
    <row r="97" spans="2:7">
      <c r="C97" s="104"/>
      <c r="D97" s="104"/>
      <c r="E97" s="108" t="s">
        <v>323</v>
      </c>
      <c r="F97" s="78" t="s">
        <v>324</v>
      </c>
      <c r="G97" s="79">
        <v>8397958</v>
      </c>
    </row>
    <row r="98" spans="2:7">
      <c r="C98" s="104"/>
      <c r="D98" s="104"/>
      <c r="E98" s="108" t="s">
        <v>325</v>
      </c>
      <c r="F98" s="78" t="s">
        <v>326</v>
      </c>
      <c r="G98" s="79">
        <v>0</v>
      </c>
    </row>
    <row r="99" spans="2:7">
      <c r="C99" s="104"/>
      <c r="D99" s="104"/>
      <c r="E99" s="108" t="s">
        <v>327</v>
      </c>
      <c r="F99" s="78" t="s">
        <v>328</v>
      </c>
      <c r="G99" s="79">
        <v>7348522</v>
      </c>
    </row>
    <row r="100" spans="2:7">
      <c r="C100" s="104"/>
      <c r="D100" s="104"/>
      <c r="E100" s="108" t="s">
        <v>329</v>
      </c>
      <c r="F100" s="78" t="s">
        <v>330</v>
      </c>
      <c r="G100" s="84">
        <v>2810261</v>
      </c>
    </row>
    <row r="101" spans="2:7" ht="12.75" customHeight="1" thickBot="1">
      <c r="C101" s="104"/>
      <c r="D101" s="104"/>
      <c r="E101" s="77"/>
      <c r="F101" s="85" t="s">
        <v>331</v>
      </c>
      <c r="G101" s="86">
        <f>SUM(G96:G100)</f>
        <v>73401670</v>
      </c>
    </row>
    <row r="102" spans="2:7" ht="12.75" customHeight="1" thickBot="1">
      <c r="C102" s="104"/>
      <c r="D102" s="104"/>
      <c r="E102" s="108"/>
      <c r="F102" s="110" t="s">
        <v>332</v>
      </c>
      <c r="G102" s="111">
        <f>[6]Amortizaciones!D19</f>
        <v>70042723</v>
      </c>
    </row>
    <row r="103" spans="2:7">
      <c r="C103" s="104"/>
      <c r="D103" s="104"/>
      <c r="E103" s="108" t="s">
        <v>333</v>
      </c>
      <c r="F103" s="78" t="s">
        <v>334</v>
      </c>
      <c r="G103" s="81">
        <v>0</v>
      </c>
    </row>
    <row r="104" spans="2:7">
      <c r="C104" s="104"/>
      <c r="D104" s="104"/>
      <c r="E104" s="108" t="s">
        <v>335</v>
      </c>
      <c r="F104" s="112" t="s">
        <v>336</v>
      </c>
      <c r="G104" s="79">
        <v>0</v>
      </c>
    </row>
    <row r="105" spans="2:7" ht="14.25" customHeight="1" thickBot="1">
      <c r="C105" s="104"/>
      <c r="D105" s="104"/>
      <c r="E105" s="77"/>
      <c r="F105" s="85" t="s">
        <v>337</v>
      </c>
      <c r="G105" s="86">
        <f>SUM(G103:G104)</f>
        <v>0</v>
      </c>
    </row>
    <row r="106" spans="2:7" ht="14.25" customHeight="1" thickBot="1">
      <c r="B106" s="5"/>
      <c r="C106" s="113"/>
      <c r="D106" s="113"/>
      <c r="E106" s="108"/>
      <c r="F106" s="72" t="s">
        <v>338</v>
      </c>
      <c r="G106" s="103">
        <f>G19+G27+G32+G48+G57+G79+G95+G101+G102+G105</f>
        <v>3908050870</v>
      </c>
    </row>
    <row r="107" spans="2:7" ht="5.25" customHeight="1">
      <c r="B107" s="5"/>
      <c r="C107" s="113"/>
      <c r="D107" s="113"/>
      <c r="E107" s="77"/>
      <c r="F107" s="114"/>
      <c r="G107" s="115"/>
    </row>
    <row r="108" spans="2:7" ht="5.25" customHeight="1" thickBot="1">
      <c r="B108" s="5"/>
      <c r="C108" s="113"/>
      <c r="D108" s="113"/>
      <c r="E108" s="77"/>
      <c r="F108" s="116"/>
      <c r="G108" s="116"/>
    </row>
    <row r="109" spans="2:7" ht="16.5" customHeight="1" thickBot="1">
      <c r="B109" s="5"/>
      <c r="C109" s="113"/>
      <c r="D109" s="113"/>
      <c r="E109" s="77"/>
      <c r="F109" s="72" t="s">
        <v>339</v>
      </c>
      <c r="G109" s="103">
        <f>D61-G106</f>
        <v>427895438</v>
      </c>
    </row>
    <row r="110" spans="2:7" ht="6.75" customHeight="1" thickBot="1">
      <c r="B110" s="5"/>
      <c r="C110" s="117"/>
      <c r="D110" s="117"/>
      <c r="E110" s="77"/>
      <c r="F110" s="116"/>
      <c r="G110" s="116"/>
    </row>
    <row r="111" spans="2:7" ht="15" customHeight="1" thickBot="1">
      <c r="C111" s="72" t="s">
        <v>269</v>
      </c>
      <c r="D111" s="118">
        <f>+[6]E.S.P.!D6</f>
        <v>2021</v>
      </c>
      <c r="E111" s="108"/>
      <c r="F111" s="72" t="s">
        <v>340</v>
      </c>
      <c r="G111" s="118">
        <f>+[6]E.S.P.!D6</f>
        <v>2021</v>
      </c>
    </row>
    <row r="112" spans="2:7" ht="13.7" customHeight="1">
      <c r="B112" s="5" t="s">
        <v>341</v>
      </c>
      <c r="C112" s="119" t="s">
        <v>342</v>
      </c>
      <c r="D112" s="120">
        <v>51344860</v>
      </c>
      <c r="E112" s="77" t="s">
        <v>343</v>
      </c>
      <c r="F112" s="119" t="s">
        <v>308</v>
      </c>
      <c r="G112" s="120">
        <v>788707</v>
      </c>
    </row>
    <row r="113" spans="2:7" ht="13.7" customHeight="1">
      <c r="B113" s="5" t="s">
        <v>344</v>
      </c>
      <c r="C113" s="121" t="s">
        <v>345</v>
      </c>
      <c r="D113" s="122">
        <v>87919791</v>
      </c>
      <c r="E113" s="77" t="s">
        <v>346</v>
      </c>
      <c r="F113" s="121" t="s">
        <v>347</v>
      </c>
      <c r="G113" s="122">
        <v>0</v>
      </c>
    </row>
    <row r="114" spans="2:7" ht="13.7" customHeight="1">
      <c r="B114" s="5" t="s">
        <v>348</v>
      </c>
      <c r="C114" s="121" t="s">
        <v>48</v>
      </c>
      <c r="D114" s="122">
        <v>0</v>
      </c>
      <c r="E114" s="77" t="s">
        <v>349</v>
      </c>
      <c r="F114" s="121" t="s">
        <v>350</v>
      </c>
      <c r="G114" s="122">
        <v>19569246</v>
      </c>
    </row>
    <row r="115" spans="2:7" ht="13.7" customHeight="1">
      <c r="B115" s="5" t="s">
        <v>351</v>
      </c>
      <c r="C115" s="121" t="s">
        <v>352</v>
      </c>
      <c r="D115" s="122">
        <v>3165602</v>
      </c>
      <c r="E115" s="77" t="s">
        <v>353</v>
      </c>
      <c r="F115" s="121" t="s">
        <v>354</v>
      </c>
      <c r="G115" s="122">
        <v>3302121</v>
      </c>
    </row>
    <row r="116" spans="2:7" ht="13.7" customHeight="1">
      <c r="B116" s="5" t="s">
        <v>355</v>
      </c>
      <c r="C116" s="121" t="s">
        <v>356</v>
      </c>
      <c r="D116" s="122">
        <v>4194464</v>
      </c>
      <c r="E116" s="77" t="s">
        <v>357</v>
      </c>
      <c r="F116" s="121" t="s">
        <v>358</v>
      </c>
      <c r="G116" s="122">
        <v>0</v>
      </c>
    </row>
    <row r="117" spans="2:7" ht="13.7" customHeight="1">
      <c r="B117" s="5" t="s">
        <v>359</v>
      </c>
      <c r="C117" s="121" t="s">
        <v>360</v>
      </c>
      <c r="D117" s="122">
        <v>0</v>
      </c>
      <c r="E117" s="77" t="s">
        <v>361</v>
      </c>
      <c r="F117" s="121" t="s">
        <v>362</v>
      </c>
      <c r="G117" s="122">
        <v>0</v>
      </c>
    </row>
    <row r="118" spans="2:7" ht="13.7" customHeight="1">
      <c r="B118" s="5" t="s">
        <v>363</v>
      </c>
      <c r="C118" s="121" t="s">
        <v>364</v>
      </c>
      <c r="D118" s="122">
        <v>0</v>
      </c>
      <c r="E118" s="77" t="s">
        <v>365</v>
      </c>
      <c r="F118" s="121" t="s">
        <v>366</v>
      </c>
      <c r="G118" s="122">
        <v>81272</v>
      </c>
    </row>
    <row r="119" spans="2:7" ht="13.7" customHeight="1">
      <c r="B119" s="5" t="s">
        <v>367</v>
      </c>
      <c r="C119" s="121" t="s">
        <v>368</v>
      </c>
      <c r="D119" s="122">
        <v>0</v>
      </c>
      <c r="E119" s="77" t="s">
        <v>369</v>
      </c>
      <c r="F119" s="121" t="s">
        <v>370</v>
      </c>
      <c r="G119" s="122">
        <v>2465490</v>
      </c>
    </row>
    <row r="120" spans="2:7" ht="13.7" customHeight="1">
      <c r="B120" s="5" t="s">
        <v>371</v>
      </c>
      <c r="C120" s="121" t="s">
        <v>372</v>
      </c>
      <c r="D120" s="122">
        <v>0</v>
      </c>
      <c r="E120" s="77" t="s">
        <v>373</v>
      </c>
      <c r="F120" s="121" t="s">
        <v>374</v>
      </c>
      <c r="G120" s="122">
        <v>0</v>
      </c>
    </row>
    <row r="121" spans="2:7" ht="13.7" customHeight="1">
      <c r="B121" s="5" t="s">
        <v>375</v>
      </c>
      <c r="C121" s="78" t="s">
        <v>376</v>
      </c>
      <c r="D121" s="122">
        <v>5048186</v>
      </c>
      <c r="E121" s="77" t="s">
        <v>377</v>
      </c>
      <c r="F121" s="121" t="s">
        <v>378</v>
      </c>
      <c r="G121" s="122">
        <v>2514775</v>
      </c>
    </row>
    <row r="122" spans="2:7" ht="13.7" customHeight="1" thickBot="1">
      <c r="B122" s="5"/>
      <c r="C122" s="85" t="s">
        <v>379</v>
      </c>
      <c r="D122" s="94">
        <f>SUM(D112:D121)</f>
        <v>151672903</v>
      </c>
      <c r="E122" s="77" t="s">
        <v>380</v>
      </c>
      <c r="F122" s="78" t="s">
        <v>381</v>
      </c>
      <c r="G122" s="79">
        <v>1506099</v>
      </c>
    </row>
    <row r="123" spans="2:7" ht="13.7" customHeight="1" thickBot="1">
      <c r="B123" s="5" t="s">
        <v>382</v>
      </c>
      <c r="C123" s="123" t="s">
        <v>308</v>
      </c>
      <c r="D123" s="120">
        <v>13350539</v>
      </c>
      <c r="E123" s="108"/>
      <c r="F123" s="85" t="s">
        <v>383</v>
      </c>
      <c r="G123" s="94">
        <f>SUM(G112:G122)</f>
        <v>30227710</v>
      </c>
    </row>
    <row r="124" spans="2:7" ht="13.7" customHeight="1">
      <c r="B124" s="5" t="s">
        <v>384</v>
      </c>
      <c r="C124" s="121" t="s">
        <v>312</v>
      </c>
      <c r="D124" s="122">
        <v>5251499</v>
      </c>
      <c r="E124" s="77" t="s">
        <v>385</v>
      </c>
      <c r="F124" s="121" t="s">
        <v>386</v>
      </c>
      <c r="G124" s="122">
        <v>0</v>
      </c>
    </row>
    <row r="125" spans="2:7" ht="13.7" customHeight="1">
      <c r="B125" s="5" t="s">
        <v>387</v>
      </c>
      <c r="C125" s="78" t="s">
        <v>388</v>
      </c>
      <c r="D125" s="122">
        <v>626663</v>
      </c>
      <c r="E125" s="77" t="s">
        <v>389</v>
      </c>
      <c r="F125" s="121" t="s">
        <v>390</v>
      </c>
      <c r="G125" s="122">
        <v>604467</v>
      </c>
    </row>
    <row r="126" spans="2:7" ht="13.7" customHeight="1" thickBot="1">
      <c r="B126" s="5"/>
      <c r="C126" s="85" t="s">
        <v>391</v>
      </c>
      <c r="D126" s="94">
        <f>SUM(D123:D125)</f>
        <v>19228701</v>
      </c>
      <c r="E126" s="77" t="s">
        <v>392</v>
      </c>
      <c r="F126" s="121" t="s">
        <v>393</v>
      </c>
      <c r="G126" s="122">
        <v>10661843</v>
      </c>
    </row>
    <row r="127" spans="2:7" ht="13.7" customHeight="1">
      <c r="B127" s="5" t="s">
        <v>394</v>
      </c>
      <c r="C127" s="119" t="s">
        <v>273</v>
      </c>
      <c r="D127" s="120">
        <v>25510505</v>
      </c>
      <c r="E127" s="77" t="s">
        <v>395</v>
      </c>
      <c r="F127" s="121" t="s">
        <v>396</v>
      </c>
      <c r="G127" s="122">
        <v>0</v>
      </c>
    </row>
    <row r="128" spans="2:7" ht="13.7" customHeight="1">
      <c r="B128" s="5" t="s">
        <v>397</v>
      </c>
      <c r="C128" s="121" t="s">
        <v>398</v>
      </c>
      <c r="D128" s="122">
        <v>1730449</v>
      </c>
      <c r="E128" s="77" t="s">
        <v>399</v>
      </c>
      <c r="F128" s="121" t="s">
        <v>400</v>
      </c>
      <c r="G128" s="122">
        <v>1185847</v>
      </c>
    </row>
    <row r="129" spans="2:7" ht="13.7" customHeight="1">
      <c r="B129" s="5" t="s">
        <v>401</v>
      </c>
      <c r="C129" s="121" t="s">
        <v>276</v>
      </c>
      <c r="D129" s="122">
        <v>0</v>
      </c>
      <c r="E129" s="77" t="s">
        <v>402</v>
      </c>
      <c r="F129" s="121" t="s">
        <v>403</v>
      </c>
      <c r="G129" s="122">
        <v>30179546</v>
      </c>
    </row>
    <row r="130" spans="2:7" ht="13.7" customHeight="1">
      <c r="B130" s="5" t="s">
        <v>404</v>
      </c>
      <c r="C130" s="121" t="s">
        <v>282</v>
      </c>
      <c r="D130" s="122">
        <v>713154</v>
      </c>
      <c r="E130" s="77" t="s">
        <v>405</v>
      </c>
      <c r="F130" s="121" t="s">
        <v>406</v>
      </c>
      <c r="G130" s="122">
        <v>0</v>
      </c>
    </row>
    <row r="131" spans="2:7" ht="13.7" customHeight="1">
      <c r="B131" s="5" t="s">
        <v>407</v>
      </c>
      <c r="C131" s="121" t="s">
        <v>286</v>
      </c>
      <c r="D131" s="122">
        <v>2891741</v>
      </c>
      <c r="E131" s="77" t="s">
        <v>408</v>
      </c>
      <c r="F131" s="121" t="s">
        <v>409</v>
      </c>
      <c r="G131" s="122">
        <v>0</v>
      </c>
    </row>
    <row r="132" spans="2:7" ht="13.7" customHeight="1">
      <c r="B132" s="5" t="s">
        <v>410</v>
      </c>
      <c r="C132" s="121" t="s">
        <v>290</v>
      </c>
      <c r="D132" s="122">
        <v>2409279</v>
      </c>
      <c r="E132" s="77" t="s">
        <v>411</v>
      </c>
      <c r="F132" s="121" t="s">
        <v>412</v>
      </c>
      <c r="G132" s="122">
        <v>224258</v>
      </c>
    </row>
    <row r="133" spans="2:7" ht="13.7" customHeight="1">
      <c r="B133" s="5" t="s">
        <v>413</v>
      </c>
      <c r="C133" s="121" t="s">
        <v>294</v>
      </c>
      <c r="D133" s="122">
        <v>0</v>
      </c>
      <c r="E133" s="77" t="s">
        <v>414</v>
      </c>
      <c r="F133" s="121" t="s">
        <v>415</v>
      </c>
      <c r="G133" s="122">
        <v>1074125</v>
      </c>
    </row>
    <row r="134" spans="2:7" ht="13.7" customHeight="1">
      <c r="B134" s="5" t="s">
        <v>416</v>
      </c>
      <c r="C134" s="121" t="s">
        <v>417</v>
      </c>
      <c r="D134" s="122">
        <v>12094380</v>
      </c>
      <c r="E134" s="77" t="s">
        <v>418</v>
      </c>
      <c r="F134" s="121" t="s">
        <v>419</v>
      </c>
      <c r="G134" s="122">
        <v>1460838</v>
      </c>
    </row>
    <row r="135" spans="2:7" ht="13.7" customHeight="1">
      <c r="B135" s="5" t="s">
        <v>420</v>
      </c>
      <c r="C135" s="121" t="s">
        <v>421</v>
      </c>
      <c r="D135" s="122">
        <v>30905592</v>
      </c>
      <c r="E135" s="77" t="s">
        <v>422</v>
      </c>
      <c r="F135" s="121" t="s">
        <v>423</v>
      </c>
      <c r="G135" s="122">
        <v>0</v>
      </c>
    </row>
    <row r="136" spans="2:7" ht="13.7" customHeight="1">
      <c r="B136" s="5" t="s">
        <v>424</v>
      </c>
      <c r="C136" s="121" t="s">
        <v>317</v>
      </c>
      <c r="D136" s="122">
        <v>14648542</v>
      </c>
      <c r="E136" s="77" t="s">
        <v>425</v>
      </c>
      <c r="F136" s="121" t="s">
        <v>426</v>
      </c>
      <c r="G136" s="122">
        <v>1736806</v>
      </c>
    </row>
    <row r="137" spans="2:7" ht="13.7" customHeight="1">
      <c r="B137" s="5" t="s">
        <v>427</v>
      </c>
      <c r="C137" s="78" t="s">
        <v>319</v>
      </c>
      <c r="D137" s="124">
        <v>3047171</v>
      </c>
      <c r="E137" s="77" t="s">
        <v>428</v>
      </c>
      <c r="F137" s="121" t="s">
        <v>429</v>
      </c>
      <c r="G137" s="122">
        <v>37339153</v>
      </c>
    </row>
    <row r="138" spans="2:7" ht="13.7" customHeight="1" thickBot="1">
      <c r="B138" s="5"/>
      <c r="C138" s="85" t="s">
        <v>320</v>
      </c>
      <c r="D138" s="94">
        <f>SUM(D127:D137)</f>
        <v>93950813</v>
      </c>
      <c r="E138" s="77" t="s">
        <v>430</v>
      </c>
      <c r="F138" s="78" t="s">
        <v>431</v>
      </c>
      <c r="G138" s="79">
        <v>2360996</v>
      </c>
    </row>
    <row r="139" spans="2:7" ht="13.7" customHeight="1" thickBot="1">
      <c r="B139" s="5" t="s">
        <v>432</v>
      </c>
      <c r="C139" s="119" t="s">
        <v>326</v>
      </c>
      <c r="D139" s="120">
        <v>0</v>
      </c>
      <c r="E139" s="125"/>
      <c r="F139" s="85" t="s">
        <v>433</v>
      </c>
      <c r="G139" s="94">
        <f>SUM(G124:G138)</f>
        <v>86827879</v>
      </c>
    </row>
    <row r="140" spans="2:7" ht="13.7" customHeight="1" thickBot="1">
      <c r="B140" s="5" t="s">
        <v>434</v>
      </c>
      <c r="C140" s="121" t="s">
        <v>328</v>
      </c>
      <c r="D140" s="122">
        <v>8480534</v>
      </c>
      <c r="E140" s="125"/>
      <c r="F140" s="110" t="s">
        <v>435</v>
      </c>
      <c r="G140" s="126">
        <f>G123-G139</f>
        <v>-56600169</v>
      </c>
    </row>
    <row r="141" spans="2:7" ht="13.7" customHeight="1">
      <c r="B141" s="5" t="s">
        <v>436</v>
      </c>
      <c r="C141" s="78" t="s">
        <v>330</v>
      </c>
      <c r="D141" s="124">
        <v>218015</v>
      </c>
      <c r="E141" s="127"/>
      <c r="F141" s="116"/>
      <c r="G141" s="116"/>
    </row>
    <row r="142" spans="2:7" ht="13.7" customHeight="1" thickBot="1">
      <c r="B142" s="5"/>
      <c r="C142" s="85" t="s">
        <v>331</v>
      </c>
      <c r="D142" s="94">
        <f>SUM(D139:D141)</f>
        <v>8698549</v>
      </c>
      <c r="E142" s="127"/>
      <c r="F142" s="116"/>
      <c r="G142" s="116"/>
    </row>
    <row r="143" spans="2:7" ht="13.5" customHeight="1" thickBot="1">
      <c r="B143" s="5"/>
      <c r="C143" s="110" t="s">
        <v>332</v>
      </c>
      <c r="D143" s="126">
        <f>[6]Amortizaciones!D33</f>
        <v>3295693</v>
      </c>
      <c r="E143" s="77"/>
      <c r="F143" s="72" t="s">
        <v>437</v>
      </c>
      <c r="G143" s="118">
        <f>+[6]E.S.P.!D6</f>
        <v>2021</v>
      </c>
    </row>
    <row r="144" spans="2:7" ht="13.7" customHeight="1">
      <c r="B144" s="5" t="s">
        <v>438</v>
      </c>
      <c r="C144" s="119" t="s">
        <v>439</v>
      </c>
      <c r="D144" s="120">
        <v>8300654</v>
      </c>
      <c r="E144" s="77" t="s">
        <v>440</v>
      </c>
      <c r="F144" s="119" t="s">
        <v>441</v>
      </c>
      <c r="G144" s="120">
        <v>930796</v>
      </c>
    </row>
    <row r="145" spans="2:7" ht="13.7" customHeight="1">
      <c r="B145" s="5" t="s">
        <v>442</v>
      </c>
      <c r="C145" s="121" t="s">
        <v>443</v>
      </c>
      <c r="D145" s="122">
        <v>0</v>
      </c>
      <c r="E145" s="77" t="s">
        <v>444</v>
      </c>
      <c r="F145" s="121" t="s">
        <v>445</v>
      </c>
      <c r="G145" s="122">
        <v>2205792</v>
      </c>
    </row>
    <row r="146" spans="2:7" ht="13.7" customHeight="1">
      <c r="B146" s="5" t="s">
        <v>446</v>
      </c>
      <c r="C146" s="128" t="s">
        <v>447</v>
      </c>
      <c r="D146" s="122">
        <v>0</v>
      </c>
      <c r="E146" s="77" t="s">
        <v>448</v>
      </c>
      <c r="F146" s="121" t="s">
        <v>449</v>
      </c>
      <c r="G146" s="122">
        <v>4339258</v>
      </c>
    </row>
    <row r="147" spans="2:7" ht="13.7" customHeight="1">
      <c r="B147" s="5" t="s">
        <v>450</v>
      </c>
      <c r="C147" s="78" t="s">
        <v>451</v>
      </c>
      <c r="D147" s="124">
        <v>292506</v>
      </c>
      <c r="E147" s="77" t="s">
        <v>452</v>
      </c>
      <c r="F147" s="121" t="s">
        <v>453</v>
      </c>
      <c r="G147" s="122">
        <v>0</v>
      </c>
    </row>
    <row r="148" spans="2:7" ht="13.7" customHeight="1" thickBot="1">
      <c r="B148" s="5"/>
      <c r="C148" s="85" t="s">
        <v>518</v>
      </c>
      <c r="D148" s="94">
        <f>SUM(D144:D147)</f>
        <v>8593160</v>
      </c>
      <c r="E148" s="77" t="s">
        <v>454</v>
      </c>
      <c r="F148" s="121" t="s">
        <v>455</v>
      </c>
      <c r="G148" s="122">
        <v>0</v>
      </c>
    </row>
    <row r="149" spans="2:7" ht="13.7" customHeight="1">
      <c r="B149" s="5" t="s">
        <v>456</v>
      </c>
      <c r="C149" s="119" t="s">
        <v>457</v>
      </c>
      <c r="D149" s="120">
        <v>17364696</v>
      </c>
      <c r="E149" s="77" t="s">
        <v>458</v>
      </c>
      <c r="F149" s="121" t="s">
        <v>459</v>
      </c>
      <c r="G149" s="122">
        <v>0</v>
      </c>
    </row>
    <row r="150" spans="2:7" ht="13.7" customHeight="1">
      <c r="B150" s="5" t="s">
        <v>460</v>
      </c>
      <c r="C150" s="121" t="s">
        <v>461</v>
      </c>
      <c r="D150" s="122">
        <v>0</v>
      </c>
      <c r="E150" s="77" t="s">
        <v>462</v>
      </c>
      <c r="F150" s="121" t="s">
        <v>463</v>
      </c>
      <c r="G150" s="122">
        <v>0</v>
      </c>
    </row>
    <row r="151" spans="2:7" ht="13.7" customHeight="1">
      <c r="B151" s="5" t="s">
        <v>464</v>
      </c>
      <c r="C151" s="78" t="s">
        <v>465</v>
      </c>
      <c r="D151" s="124">
        <v>232595</v>
      </c>
      <c r="E151" s="77" t="s">
        <v>466</v>
      </c>
      <c r="F151" s="121" t="s">
        <v>467</v>
      </c>
      <c r="G151" s="122">
        <v>56170339</v>
      </c>
    </row>
    <row r="152" spans="2:7" ht="13.7" customHeight="1" thickBot="1">
      <c r="B152" s="5"/>
      <c r="C152" s="85" t="s">
        <v>516</v>
      </c>
      <c r="D152" s="94">
        <f>SUM(D149:D151)</f>
        <v>17597291</v>
      </c>
      <c r="E152" s="77" t="s">
        <v>469</v>
      </c>
      <c r="F152" s="121" t="s">
        <v>470</v>
      </c>
      <c r="G152" s="122">
        <v>0</v>
      </c>
    </row>
    <row r="153" spans="2:7" ht="15" customHeight="1" thickBot="1">
      <c r="B153" s="5"/>
      <c r="C153" s="110" t="s">
        <v>471</v>
      </c>
      <c r="D153" s="129">
        <f>D122+D126+D138+D142+D143+D148+D152</f>
        <v>303037110</v>
      </c>
      <c r="E153" s="77" t="s">
        <v>472</v>
      </c>
      <c r="F153" s="78" t="s">
        <v>473</v>
      </c>
      <c r="G153" s="79">
        <v>264318</v>
      </c>
    </row>
    <row r="154" spans="2:7" ht="13.7" customHeight="1" thickBot="1">
      <c r="B154" s="5"/>
      <c r="C154" s="116"/>
      <c r="D154" s="116"/>
      <c r="E154" s="77"/>
      <c r="F154" s="85" t="s">
        <v>474</v>
      </c>
      <c r="G154" s="94">
        <f>SUM(G144:G153)</f>
        <v>63910503</v>
      </c>
    </row>
    <row r="155" spans="2:7" ht="13.5" customHeight="1" thickBot="1">
      <c r="B155" s="5"/>
      <c r="C155" s="72" t="s">
        <v>475</v>
      </c>
      <c r="D155" s="103">
        <f>G109-D153</f>
        <v>124858328</v>
      </c>
      <c r="E155" s="77" t="s">
        <v>476</v>
      </c>
      <c r="F155" s="119" t="s">
        <v>477</v>
      </c>
      <c r="G155" s="120">
        <v>20942038</v>
      </c>
    </row>
    <row r="156" spans="2:7" ht="13.7" customHeight="1">
      <c r="C156" s="130"/>
      <c r="D156" s="130"/>
      <c r="E156" s="77" t="s">
        <v>478</v>
      </c>
      <c r="F156" s="121" t="s">
        <v>479</v>
      </c>
      <c r="G156" s="122">
        <v>27737870</v>
      </c>
    </row>
    <row r="157" spans="2:7" ht="13.7" customHeight="1">
      <c r="C157" s="130"/>
      <c r="D157" s="130"/>
      <c r="E157" s="77" t="s">
        <v>480</v>
      </c>
      <c r="F157" s="121" t="s">
        <v>481</v>
      </c>
      <c r="G157" s="122">
        <v>878053</v>
      </c>
    </row>
    <row r="158" spans="2:7" ht="13.7" customHeight="1">
      <c r="C158" s="130"/>
      <c r="D158" s="130"/>
      <c r="E158" s="77" t="s">
        <v>482</v>
      </c>
      <c r="F158" s="121" t="s">
        <v>483</v>
      </c>
      <c r="G158" s="122">
        <v>0</v>
      </c>
    </row>
    <row r="159" spans="2:7" ht="13.7" customHeight="1">
      <c r="C159" s="130"/>
      <c r="D159" s="130"/>
      <c r="E159" s="77" t="s">
        <v>484</v>
      </c>
      <c r="F159" s="121" t="s">
        <v>485</v>
      </c>
      <c r="G159" s="122">
        <v>0</v>
      </c>
    </row>
    <row r="160" spans="2:7" ht="13.7" customHeight="1">
      <c r="C160" s="130"/>
      <c r="D160" s="130"/>
      <c r="E160" s="77" t="s">
        <v>486</v>
      </c>
      <c r="F160" s="121" t="s">
        <v>487</v>
      </c>
      <c r="G160" s="122">
        <v>400150</v>
      </c>
    </row>
    <row r="161" spans="3:7" ht="13.7" customHeight="1">
      <c r="C161" s="130"/>
      <c r="D161" s="130"/>
      <c r="E161" s="77" t="s">
        <v>488</v>
      </c>
      <c r="F161" s="121" t="s">
        <v>489</v>
      </c>
      <c r="G161" s="122">
        <f>620128+3566237</f>
        <v>4186365</v>
      </c>
    </row>
    <row r="162" spans="3:7" ht="13.7" customHeight="1">
      <c r="C162" s="130"/>
      <c r="D162" s="130"/>
      <c r="E162" s="77" t="s">
        <v>490</v>
      </c>
      <c r="F162" s="121" t="s">
        <v>491</v>
      </c>
      <c r="G162" s="122">
        <v>0</v>
      </c>
    </row>
    <row r="163" spans="3:7" ht="13.7" customHeight="1">
      <c r="C163" s="130"/>
      <c r="D163" s="130"/>
      <c r="E163" s="77" t="s">
        <v>492</v>
      </c>
      <c r="F163" s="121" t="s">
        <v>493</v>
      </c>
      <c r="G163" s="122">
        <v>0</v>
      </c>
    </row>
    <row r="164" spans="3:7" ht="13.7" customHeight="1">
      <c r="C164" s="130"/>
      <c r="D164" s="130"/>
      <c r="E164" s="77" t="s">
        <v>494</v>
      </c>
      <c r="F164" s="121" t="s">
        <v>495</v>
      </c>
      <c r="G164" s="122">
        <v>0</v>
      </c>
    </row>
    <row r="165" spans="3:7" ht="13.7" customHeight="1">
      <c r="C165" s="130"/>
      <c r="D165" s="130"/>
      <c r="E165" s="77" t="s">
        <v>496</v>
      </c>
      <c r="F165" s="121" t="s">
        <v>497</v>
      </c>
      <c r="G165" s="122">
        <v>0</v>
      </c>
    </row>
    <row r="166" spans="3:7" ht="13.7" customHeight="1">
      <c r="C166" s="130"/>
      <c r="D166" s="130"/>
      <c r="E166" s="77" t="s">
        <v>498</v>
      </c>
      <c r="F166" s="121" t="s">
        <v>499</v>
      </c>
      <c r="G166" s="122">
        <v>0</v>
      </c>
    </row>
    <row r="167" spans="3:7" ht="13.7" customHeight="1">
      <c r="C167" s="130"/>
      <c r="D167" s="130"/>
      <c r="E167" s="77" t="s">
        <v>500</v>
      </c>
      <c r="F167" s="78" t="s">
        <v>501</v>
      </c>
      <c r="G167" s="79">
        <v>1733294</v>
      </c>
    </row>
    <row r="168" spans="3:7" ht="13.7" customHeight="1" thickBot="1">
      <c r="C168" s="130"/>
      <c r="D168" s="130"/>
      <c r="E168" s="77"/>
      <c r="F168" s="85" t="s">
        <v>502</v>
      </c>
      <c r="G168" s="94">
        <f>SUM(G155:G167)</f>
        <v>55877770</v>
      </c>
    </row>
    <row r="169" spans="3:7" ht="13.7" customHeight="1" thickBot="1">
      <c r="C169" s="130"/>
      <c r="D169" s="130"/>
      <c r="E169" s="77"/>
      <c r="F169" s="110" t="s">
        <v>503</v>
      </c>
      <c r="G169" s="126">
        <f>G154-G168</f>
        <v>8032733</v>
      </c>
    </row>
    <row r="170" spans="3:7" ht="7.5" customHeight="1" thickBot="1">
      <c r="C170" s="130"/>
      <c r="D170" s="130"/>
      <c r="E170" s="77"/>
      <c r="F170" s="116"/>
      <c r="G170" s="116"/>
    </row>
    <row r="171" spans="3:7" ht="13.7" customHeight="1" thickBot="1">
      <c r="C171" s="130"/>
      <c r="D171" s="130"/>
      <c r="E171" s="77"/>
      <c r="F171" s="72" t="s">
        <v>504</v>
      </c>
      <c r="G171" s="131"/>
    </row>
    <row r="172" spans="3:7" ht="13.7" customHeight="1" thickBot="1">
      <c r="C172" s="130"/>
      <c r="D172" s="130"/>
      <c r="E172" s="77"/>
      <c r="F172" s="132"/>
      <c r="G172" s="133">
        <f>+D155+G140+G169</f>
        <v>76290892</v>
      </c>
    </row>
    <row r="173" spans="3:7" ht="9" customHeight="1" thickBot="1">
      <c r="C173" s="130"/>
      <c r="D173" s="130"/>
      <c r="E173" s="77"/>
      <c r="F173" s="134"/>
      <c r="G173" s="135"/>
    </row>
    <row r="174" spans="3:7" ht="15" customHeight="1" thickBot="1">
      <c r="C174" s="130"/>
      <c r="D174" s="130"/>
      <c r="E174" s="77"/>
      <c r="F174" s="72" t="s">
        <v>505</v>
      </c>
      <c r="G174" s="118">
        <f>+G143</f>
        <v>2021</v>
      </c>
    </row>
    <row r="175" spans="3:7" ht="13.7" customHeight="1">
      <c r="C175" s="130"/>
      <c r="D175" s="130"/>
      <c r="E175" s="77"/>
      <c r="F175" s="119" t="s">
        <v>506</v>
      </c>
      <c r="G175" s="120">
        <v>0</v>
      </c>
    </row>
    <row r="176" spans="3:7" ht="13.7" customHeight="1">
      <c r="C176" s="130"/>
      <c r="D176" s="130"/>
      <c r="E176" s="77"/>
      <c r="F176" s="121" t="s">
        <v>507</v>
      </c>
      <c r="G176" s="122">
        <v>0</v>
      </c>
    </row>
    <row r="177" spans="1:8" ht="13.7" customHeight="1" thickBot="1">
      <c r="C177" s="130"/>
      <c r="D177" s="130"/>
      <c r="E177" s="77"/>
      <c r="F177" s="121" t="s">
        <v>508</v>
      </c>
      <c r="G177" s="122">
        <v>0</v>
      </c>
    </row>
    <row r="178" spans="1:8" ht="13.7" customHeight="1" thickBot="1">
      <c r="C178" s="130"/>
      <c r="D178" s="130"/>
      <c r="E178" s="77"/>
      <c r="F178" s="72" t="s">
        <v>509</v>
      </c>
      <c r="G178" s="103">
        <f>SUM(G175:G177)</f>
        <v>0</v>
      </c>
    </row>
    <row r="179" spans="1:8" ht="9.75" customHeight="1" thickBot="1">
      <c r="C179" s="130"/>
      <c r="D179" s="130"/>
      <c r="E179" s="77"/>
      <c r="F179" s="116"/>
      <c r="G179" s="116"/>
    </row>
    <row r="180" spans="1:8" ht="14.25" customHeight="1" thickBot="1">
      <c r="C180" s="130"/>
      <c r="D180" s="130"/>
      <c r="E180" s="77"/>
      <c r="F180" s="72" t="s">
        <v>519</v>
      </c>
      <c r="G180" s="131"/>
    </row>
    <row r="181" spans="1:8" ht="16.5" customHeight="1" thickBot="1">
      <c r="C181" s="130"/>
      <c r="D181" s="130"/>
      <c r="E181" s="77"/>
      <c r="F181" s="132"/>
      <c r="G181" s="133">
        <f>+G172+G178</f>
        <v>76290892</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sheetData>
  <mergeCells count="6">
    <mergeCell ref="C1:D1"/>
    <mergeCell ref="E1:F1"/>
    <mergeCell ref="C2:D2"/>
    <mergeCell ref="E2:F2"/>
    <mergeCell ref="C3:D3"/>
    <mergeCell ref="E3:F3"/>
  </mergeCells>
  <conditionalFormatting sqref="D7:D12">
    <cfRule type="cellIs" dxfId="476" priority="2" stopIfTrue="1" operator="greaterThan">
      <formula>50</formula>
    </cfRule>
    <cfRule type="cellIs" dxfId="475" priority="11" stopIfTrue="1" operator="equal">
      <formula>0</formula>
    </cfRule>
  </conditionalFormatting>
  <conditionalFormatting sqref="D7:D61">
    <cfRule type="cellIs" dxfId="474" priority="9" stopIfTrue="1" operator="between">
      <formula>-0.1</formula>
      <formula>-50</formula>
    </cfRule>
    <cfRule type="cellIs" dxfId="473" priority="10" stopIfTrue="1" operator="between">
      <formula>0.1</formula>
      <formula>50</formula>
    </cfRule>
  </conditionalFormatting>
  <conditionalFormatting sqref="G152:G181 G7:G150">
    <cfRule type="cellIs" dxfId="472" priority="7" stopIfTrue="1" operator="between">
      <formula>-0.1</formula>
      <formula>-50</formula>
    </cfRule>
    <cfRule type="cellIs" dxfId="471" priority="8" stopIfTrue="1" operator="between">
      <formula>0.1</formula>
      <formula>50</formula>
    </cfRule>
  </conditionalFormatting>
  <conditionalFormatting sqref="D111:D155">
    <cfRule type="cellIs" dxfId="470" priority="5" stopIfTrue="1" operator="between">
      <formula>-0.1</formula>
      <formula>-50</formula>
    </cfRule>
    <cfRule type="cellIs" dxfId="469" priority="6" stopIfTrue="1" operator="between">
      <formula>0.1</formula>
      <formula>50</formula>
    </cfRule>
  </conditionalFormatting>
  <conditionalFormatting sqref="G165">
    <cfRule type="expression" dxfId="468" priority="4" stopIfTrue="1">
      <formula>AND($G$165&gt;0,$G$151&gt;0)</formula>
    </cfRule>
  </conditionalFormatting>
  <conditionalFormatting sqref="G151">
    <cfRule type="expression" dxfId="467"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61" unlockedFormula="1"/>
    <ignoredError sqref="G4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topLeftCell="A40" zoomScaleNormal="100" zoomScaleSheetLayoutView="100" workbookViewId="0">
      <selection activeCell="A64" sqref="A64:XFD64"/>
    </sheetView>
  </sheetViews>
  <sheetFormatPr baseColWidth="10" defaultColWidth="0" defaultRowHeight="15.75" zeroHeight="1"/>
  <cols>
    <col min="1" max="1" width="3" style="1" customWidth="1"/>
    <col min="2" max="2" width="14.28515625" style="6" hidden="1" customWidth="1"/>
    <col min="3" max="3" width="57.5703125" style="19" customWidth="1"/>
    <col min="4" max="4" width="21" style="19" customWidth="1"/>
    <col min="5" max="5" width="3.85546875" style="13" customWidth="1"/>
    <col min="6" max="6" width="57.28515625" style="19" customWidth="1"/>
    <col min="7" max="7" width="21" style="19" customWidth="1"/>
    <col min="8" max="8" width="2.85546875" style="4" customWidth="1"/>
    <col min="9" max="16384" width="0" style="4" hidden="1"/>
  </cols>
  <sheetData>
    <row r="1" spans="1:9">
      <c r="B1" s="2"/>
      <c r="C1" s="255" t="s">
        <v>0</v>
      </c>
      <c r="D1" s="258"/>
      <c r="E1" s="253" t="str">
        <f>[7]Presentacion!C3</f>
        <v>CUDAM</v>
      </c>
      <c r="F1" s="253"/>
      <c r="G1" s="136"/>
      <c r="H1" s="3"/>
    </row>
    <row r="2" spans="1:9">
      <c r="B2" s="5"/>
      <c r="C2" s="255" t="s">
        <v>1</v>
      </c>
      <c r="D2" s="258"/>
      <c r="E2" s="253" t="str">
        <f>[7]Presentacion!C4</f>
        <v>Montevideo</v>
      </c>
      <c r="F2" s="253"/>
      <c r="G2" s="136"/>
      <c r="H2" s="3"/>
    </row>
    <row r="3" spans="1:9">
      <c r="B3" s="5"/>
      <c r="C3" s="255" t="s">
        <v>2</v>
      </c>
      <c r="D3" s="255"/>
      <c r="E3" s="254" t="s">
        <v>3</v>
      </c>
      <c r="F3" s="254"/>
      <c r="G3" s="136"/>
      <c r="H3" s="3"/>
    </row>
    <row r="4" spans="1:9" ht="9" customHeight="1" thickBot="1">
      <c r="C4" s="65"/>
      <c r="D4" s="7"/>
      <c r="E4" s="8"/>
      <c r="F4" s="9"/>
      <c r="G4" s="10"/>
    </row>
    <row r="5" spans="1:9" ht="17.25" customHeight="1" thickBot="1">
      <c r="B5" s="11"/>
      <c r="C5" s="72" t="s">
        <v>4</v>
      </c>
      <c r="D5" s="73" t="s">
        <v>5</v>
      </c>
      <c r="E5" s="74"/>
      <c r="F5" s="72" t="s">
        <v>6</v>
      </c>
      <c r="G5" s="73" t="s">
        <v>5</v>
      </c>
      <c r="I5" s="12"/>
    </row>
    <row r="6" spans="1:9" ht="12.75" customHeight="1" thickBot="1">
      <c r="B6" s="11"/>
      <c r="C6" s="75" t="s">
        <v>7</v>
      </c>
      <c r="D6" s="76">
        <f>+[7]E.S.P.!D6</f>
        <v>2021</v>
      </c>
      <c r="E6" s="77"/>
      <c r="F6" s="75" t="s">
        <v>8</v>
      </c>
      <c r="G6" s="76">
        <f>+D6</f>
        <v>2021</v>
      </c>
      <c r="H6" s="12"/>
    </row>
    <row r="7" spans="1:9">
      <c r="B7" s="5" t="s">
        <v>9</v>
      </c>
      <c r="C7" s="78" t="s">
        <v>10</v>
      </c>
      <c r="D7" s="79">
        <v>6410508</v>
      </c>
      <c r="E7" s="77" t="s">
        <v>11</v>
      </c>
      <c r="F7" s="80" t="s">
        <v>12</v>
      </c>
      <c r="G7" s="81">
        <v>14970929</v>
      </c>
    </row>
    <row r="8" spans="1:9">
      <c r="B8" s="5" t="s">
        <v>13</v>
      </c>
      <c r="C8" s="78" t="s">
        <v>14</v>
      </c>
      <c r="D8" s="79">
        <v>1854901</v>
      </c>
      <c r="E8" s="77" t="s">
        <v>15</v>
      </c>
      <c r="F8" s="78" t="s">
        <v>16</v>
      </c>
      <c r="G8" s="82">
        <v>11544757</v>
      </c>
    </row>
    <row r="9" spans="1:9">
      <c r="B9" s="5" t="s">
        <v>17</v>
      </c>
      <c r="C9" s="78" t="s">
        <v>18</v>
      </c>
      <c r="D9" s="79">
        <v>1438662681</v>
      </c>
      <c r="E9" s="77" t="s">
        <v>19</v>
      </c>
      <c r="F9" s="78" t="s">
        <v>20</v>
      </c>
      <c r="G9" s="79">
        <v>24952552</v>
      </c>
    </row>
    <row r="10" spans="1:9">
      <c r="B10" s="5" t="s">
        <v>21</v>
      </c>
      <c r="C10" s="78" t="s">
        <v>22</v>
      </c>
      <c r="D10" s="79">
        <v>162761938</v>
      </c>
      <c r="E10" s="77" t="s">
        <v>23</v>
      </c>
      <c r="F10" s="78" t="s">
        <v>24</v>
      </c>
      <c r="G10" s="79">
        <v>59341244</v>
      </c>
    </row>
    <row r="11" spans="1:9">
      <c r="B11" s="5" t="s">
        <v>25</v>
      </c>
      <c r="C11" s="78" t="s">
        <v>26</v>
      </c>
      <c r="D11" s="79">
        <v>18379743</v>
      </c>
      <c r="E11" s="77" t="s">
        <v>27</v>
      </c>
      <c r="F11" s="78" t="s">
        <v>28</v>
      </c>
      <c r="G11" s="79">
        <v>134871832</v>
      </c>
    </row>
    <row r="12" spans="1:9">
      <c r="B12" s="5" t="s">
        <v>29</v>
      </c>
      <c r="C12" s="78" t="s">
        <v>30</v>
      </c>
      <c r="D12" s="79">
        <v>4888807</v>
      </c>
      <c r="E12" s="77" t="s">
        <v>31</v>
      </c>
      <c r="F12" s="78" t="s">
        <v>32</v>
      </c>
      <c r="G12" s="79">
        <v>133094704</v>
      </c>
    </row>
    <row r="13" spans="1:9">
      <c r="B13" s="5" t="s">
        <v>33</v>
      </c>
      <c r="C13" s="78" t="s">
        <v>34</v>
      </c>
      <c r="D13" s="79">
        <v>0</v>
      </c>
      <c r="E13" s="77" t="s">
        <v>35</v>
      </c>
      <c r="F13" s="78" t="s">
        <v>36</v>
      </c>
      <c r="G13" s="79">
        <v>108780441</v>
      </c>
    </row>
    <row r="14" spans="1:9">
      <c r="A14" s="14"/>
      <c r="B14" s="5" t="s">
        <v>37</v>
      </c>
      <c r="C14" s="78" t="s">
        <v>38</v>
      </c>
      <c r="D14" s="79">
        <v>0</v>
      </c>
      <c r="E14" s="77" t="s">
        <v>39</v>
      </c>
      <c r="F14" s="78" t="s">
        <v>40</v>
      </c>
      <c r="G14" s="79">
        <v>182142335</v>
      </c>
    </row>
    <row r="15" spans="1:9">
      <c r="B15" s="5" t="s">
        <v>41</v>
      </c>
      <c r="C15" s="83" t="s">
        <v>42</v>
      </c>
      <c r="D15" s="79">
        <v>0</v>
      </c>
      <c r="E15" s="77" t="s">
        <v>43</v>
      </c>
      <c r="F15" s="78" t="s">
        <v>44</v>
      </c>
      <c r="G15" s="79">
        <v>38721348</v>
      </c>
    </row>
    <row r="16" spans="1:9">
      <c r="B16" s="5" t="s">
        <v>45</v>
      </c>
      <c r="C16" s="78" t="s">
        <v>46</v>
      </c>
      <c r="D16" s="79">
        <v>0</v>
      </c>
      <c r="E16" s="77" t="s">
        <v>47</v>
      </c>
      <c r="F16" s="78" t="s">
        <v>48</v>
      </c>
      <c r="G16" s="79">
        <v>72025021</v>
      </c>
    </row>
    <row r="17" spans="1:7">
      <c r="B17" s="5" t="s">
        <v>49</v>
      </c>
      <c r="C17" s="78" t="s">
        <v>50</v>
      </c>
      <c r="D17" s="79">
        <v>0</v>
      </c>
      <c r="E17" s="77" t="s">
        <v>51</v>
      </c>
      <c r="F17" s="78" t="s">
        <v>52</v>
      </c>
      <c r="G17" s="79">
        <v>0</v>
      </c>
    </row>
    <row r="18" spans="1:7">
      <c r="A18" s="14"/>
      <c r="B18" s="5" t="s">
        <v>53</v>
      </c>
      <c r="C18" s="78" t="s">
        <v>54</v>
      </c>
      <c r="D18" s="79">
        <v>0</v>
      </c>
      <c r="E18" s="77" t="s">
        <v>55</v>
      </c>
      <c r="F18" s="78" t="s">
        <v>56</v>
      </c>
      <c r="G18" s="84">
        <v>26617723</v>
      </c>
    </row>
    <row r="19" spans="1:7" ht="16.5" thickBot="1">
      <c r="A19" s="14"/>
      <c r="B19" s="5" t="s">
        <v>57</v>
      </c>
      <c r="C19" s="78" t="s">
        <v>58</v>
      </c>
      <c r="D19" s="79">
        <v>56262152</v>
      </c>
      <c r="E19" s="77"/>
      <c r="F19" s="85" t="s">
        <v>59</v>
      </c>
      <c r="G19" s="86">
        <f>SUM(G7:G18)</f>
        <v>807062886</v>
      </c>
    </row>
    <row r="20" spans="1:7" ht="16.5" thickBot="1">
      <c r="B20" s="5"/>
      <c r="C20" s="85" t="s">
        <v>60</v>
      </c>
      <c r="D20" s="86">
        <f>SUM(D7:D19)</f>
        <v>1689220730</v>
      </c>
      <c r="E20" s="77" t="s">
        <v>61</v>
      </c>
      <c r="F20" s="80" t="s">
        <v>62</v>
      </c>
      <c r="G20" s="81">
        <v>579572</v>
      </c>
    </row>
    <row r="21" spans="1:7">
      <c r="B21" s="5"/>
      <c r="C21" s="87" t="s">
        <v>63</v>
      </c>
      <c r="D21" s="88">
        <f>SUM(D22:D28)</f>
        <v>441718</v>
      </c>
      <c r="E21" s="77" t="s">
        <v>64</v>
      </c>
      <c r="F21" s="78" t="s">
        <v>65</v>
      </c>
      <c r="G21" s="79">
        <v>9808162</v>
      </c>
    </row>
    <row r="22" spans="1:7">
      <c r="B22" s="5" t="s">
        <v>66</v>
      </c>
      <c r="C22" s="78" t="s">
        <v>67</v>
      </c>
      <c r="D22" s="79">
        <v>54679</v>
      </c>
      <c r="E22" s="77" t="s">
        <v>68</v>
      </c>
      <c r="F22" s="78" t="s">
        <v>69</v>
      </c>
      <c r="G22" s="79">
        <v>10538878</v>
      </c>
    </row>
    <row r="23" spans="1:7">
      <c r="B23" s="5" t="s">
        <v>70</v>
      </c>
      <c r="C23" s="78" t="s">
        <v>71</v>
      </c>
      <c r="D23" s="79">
        <v>0</v>
      </c>
      <c r="E23" s="77" t="s">
        <v>72</v>
      </c>
      <c r="F23" s="78" t="s">
        <v>73</v>
      </c>
      <c r="G23" s="79">
        <v>12712863</v>
      </c>
    </row>
    <row r="24" spans="1:7">
      <c r="B24" s="5" t="s">
        <v>74</v>
      </c>
      <c r="C24" s="78" t="s">
        <v>75</v>
      </c>
      <c r="D24" s="79">
        <v>0</v>
      </c>
      <c r="E24" s="77" t="s">
        <v>76</v>
      </c>
      <c r="F24" s="78" t="s">
        <v>77</v>
      </c>
      <c r="G24" s="79">
        <v>2173404</v>
      </c>
    </row>
    <row r="25" spans="1:7">
      <c r="B25" s="5" t="s">
        <v>78</v>
      </c>
      <c r="C25" s="78" t="s">
        <v>79</v>
      </c>
      <c r="D25" s="79">
        <v>0</v>
      </c>
      <c r="E25" s="77" t="s">
        <v>80</v>
      </c>
      <c r="F25" s="78" t="s">
        <v>81</v>
      </c>
      <c r="G25" s="79">
        <v>4999552</v>
      </c>
    </row>
    <row r="26" spans="1:7">
      <c r="B26" s="5" t="s">
        <v>82</v>
      </c>
      <c r="C26" s="78" t="s">
        <v>83</v>
      </c>
      <c r="D26" s="79">
        <v>0</v>
      </c>
      <c r="E26" s="77" t="s">
        <v>84</v>
      </c>
      <c r="F26" s="78" t="s">
        <v>85</v>
      </c>
      <c r="G26" s="84">
        <v>1317815</v>
      </c>
    </row>
    <row r="27" spans="1:7" ht="13.5" customHeight="1" thickBot="1">
      <c r="B27" s="5" t="s">
        <v>86</v>
      </c>
      <c r="C27" s="78" t="s">
        <v>87</v>
      </c>
      <c r="D27" s="79">
        <v>373041</v>
      </c>
      <c r="E27" s="77"/>
      <c r="F27" s="85" t="s">
        <v>88</v>
      </c>
      <c r="G27" s="86">
        <f>SUM(G20:G26)</f>
        <v>42130246</v>
      </c>
    </row>
    <row r="28" spans="1:7">
      <c r="B28" s="5" t="s">
        <v>89</v>
      </c>
      <c r="C28" s="78" t="s">
        <v>90</v>
      </c>
      <c r="D28" s="79">
        <v>13998</v>
      </c>
      <c r="E28" s="77" t="s">
        <v>91</v>
      </c>
      <c r="F28" s="80" t="s">
        <v>92</v>
      </c>
      <c r="G28" s="81">
        <v>92984570</v>
      </c>
    </row>
    <row r="29" spans="1:7">
      <c r="B29" s="5"/>
      <c r="C29" s="89" t="s">
        <v>93</v>
      </c>
      <c r="D29" s="88">
        <f>SUM(D30:D34)</f>
        <v>49888099</v>
      </c>
      <c r="E29" s="77" t="s">
        <v>94</v>
      </c>
      <c r="F29" s="78" t="s">
        <v>95</v>
      </c>
      <c r="G29" s="79">
        <v>108384556</v>
      </c>
    </row>
    <row r="30" spans="1:7">
      <c r="B30" s="5" t="s">
        <v>96</v>
      </c>
      <c r="C30" s="78" t="s">
        <v>97</v>
      </c>
      <c r="D30" s="79">
        <v>42665581</v>
      </c>
      <c r="E30" s="77" t="s">
        <v>98</v>
      </c>
      <c r="F30" s="78" t="s">
        <v>99</v>
      </c>
      <c r="G30" s="79">
        <v>7309989</v>
      </c>
    </row>
    <row r="31" spans="1:7">
      <c r="B31" s="5" t="s">
        <v>100</v>
      </c>
      <c r="C31" s="78" t="s">
        <v>101</v>
      </c>
      <c r="D31" s="79">
        <v>427860</v>
      </c>
      <c r="E31" s="77" t="s">
        <v>102</v>
      </c>
      <c r="F31" s="78" t="s">
        <v>103</v>
      </c>
      <c r="G31" s="84">
        <v>7132877</v>
      </c>
    </row>
    <row r="32" spans="1:7" ht="16.5" thickBot="1">
      <c r="B32" s="5" t="s">
        <v>104</v>
      </c>
      <c r="C32" s="78" t="s">
        <v>105</v>
      </c>
      <c r="D32" s="79">
        <v>4526706</v>
      </c>
      <c r="E32" s="77"/>
      <c r="F32" s="85" t="s">
        <v>106</v>
      </c>
      <c r="G32" s="86">
        <f>SUM(G28:G31)</f>
        <v>215811992</v>
      </c>
    </row>
    <row r="33" spans="2:7">
      <c r="B33" s="5" t="s">
        <v>107</v>
      </c>
      <c r="C33" s="78" t="s">
        <v>108</v>
      </c>
      <c r="D33" s="79">
        <v>628286</v>
      </c>
      <c r="E33" s="77"/>
      <c r="F33" s="89" t="s">
        <v>109</v>
      </c>
      <c r="G33" s="88">
        <f>SUM(G34:G39)</f>
        <v>83019789</v>
      </c>
    </row>
    <row r="34" spans="2:7">
      <c r="B34" s="5" t="s">
        <v>110</v>
      </c>
      <c r="C34" s="78" t="s">
        <v>111</v>
      </c>
      <c r="D34" s="79">
        <v>1639666</v>
      </c>
      <c r="E34" s="77" t="s">
        <v>112</v>
      </c>
      <c r="F34" s="78" t="s">
        <v>113</v>
      </c>
      <c r="G34" s="79">
        <v>8223527</v>
      </c>
    </row>
    <row r="35" spans="2:7" ht="16.5" thickBot="1">
      <c r="B35" s="5"/>
      <c r="C35" s="85" t="s">
        <v>114</v>
      </c>
      <c r="D35" s="86">
        <f>+D21+D29</f>
        <v>50329817</v>
      </c>
      <c r="E35" s="77" t="s">
        <v>115</v>
      </c>
      <c r="F35" s="78" t="s">
        <v>116</v>
      </c>
      <c r="G35" s="79">
        <v>4934116</v>
      </c>
    </row>
    <row r="36" spans="2:7">
      <c r="B36" s="5" t="s">
        <v>117</v>
      </c>
      <c r="C36" s="78" t="s">
        <v>118</v>
      </c>
      <c r="D36" s="79">
        <v>21638074</v>
      </c>
      <c r="E36" s="77" t="s">
        <v>119</v>
      </c>
      <c r="F36" s="78" t="s">
        <v>517</v>
      </c>
      <c r="G36" s="79">
        <v>3289411</v>
      </c>
    </row>
    <row r="37" spans="2:7">
      <c r="B37" s="5" t="s">
        <v>120</v>
      </c>
      <c r="C37" s="78" t="s">
        <v>121</v>
      </c>
      <c r="D37" s="79">
        <v>3198876</v>
      </c>
      <c r="E37" s="77" t="s">
        <v>122</v>
      </c>
      <c r="F37" s="78" t="s">
        <v>123</v>
      </c>
      <c r="G37" s="79">
        <v>6578822</v>
      </c>
    </row>
    <row r="38" spans="2:7">
      <c r="B38" s="5" t="s">
        <v>124</v>
      </c>
      <c r="C38" s="78" t="s">
        <v>125</v>
      </c>
      <c r="D38" s="79">
        <v>0</v>
      </c>
      <c r="E38" s="77" t="s">
        <v>126</v>
      </c>
      <c r="F38" s="78" t="s">
        <v>127</v>
      </c>
      <c r="G38" s="79">
        <v>5756469</v>
      </c>
    </row>
    <row r="39" spans="2:7">
      <c r="B39" s="5" t="s">
        <v>128</v>
      </c>
      <c r="C39" s="78" t="s">
        <v>129</v>
      </c>
      <c r="D39" s="79">
        <v>17479285</v>
      </c>
      <c r="E39" s="77" t="s">
        <v>130</v>
      </c>
      <c r="F39" s="78" t="s">
        <v>131</v>
      </c>
      <c r="G39" s="79">
        <v>54237444</v>
      </c>
    </row>
    <row r="40" spans="2:7">
      <c r="B40" s="5" t="s">
        <v>132</v>
      </c>
      <c r="C40" s="78" t="s">
        <v>133</v>
      </c>
      <c r="D40" s="79">
        <v>0</v>
      </c>
      <c r="E40" s="77"/>
      <c r="F40" s="90" t="s">
        <v>134</v>
      </c>
      <c r="G40" s="91">
        <f>SUM(G41:G46)</f>
        <v>19859368</v>
      </c>
    </row>
    <row r="41" spans="2:7">
      <c r="B41" s="5" t="s">
        <v>135</v>
      </c>
      <c r="C41" s="78" t="s">
        <v>136</v>
      </c>
      <c r="D41" s="79">
        <v>0</v>
      </c>
      <c r="E41" s="77" t="s">
        <v>137</v>
      </c>
      <c r="F41" s="78" t="s">
        <v>138</v>
      </c>
      <c r="G41" s="79">
        <v>3700587</v>
      </c>
    </row>
    <row r="42" spans="2:7">
      <c r="B42" s="5" t="s">
        <v>139</v>
      </c>
      <c r="C42" s="78" t="s">
        <v>140</v>
      </c>
      <c r="D42" s="79">
        <v>4047075</v>
      </c>
      <c r="E42" s="77" t="s">
        <v>141</v>
      </c>
      <c r="F42" s="78" t="s">
        <v>142</v>
      </c>
      <c r="G42" s="79">
        <v>1850293</v>
      </c>
    </row>
    <row r="43" spans="2:7">
      <c r="B43" s="5" t="s">
        <v>143</v>
      </c>
      <c r="C43" s="78" t="s">
        <v>144</v>
      </c>
      <c r="D43" s="79">
        <v>13091</v>
      </c>
      <c r="E43" s="77" t="s">
        <v>145</v>
      </c>
      <c r="F43" s="78" t="s">
        <v>146</v>
      </c>
      <c r="G43" s="79">
        <v>1644705</v>
      </c>
    </row>
    <row r="44" spans="2:7">
      <c r="B44" s="5" t="s">
        <v>147</v>
      </c>
      <c r="C44" s="78" t="s">
        <v>148</v>
      </c>
      <c r="D44" s="79">
        <v>0</v>
      </c>
      <c r="E44" s="77" t="s">
        <v>149</v>
      </c>
      <c r="F44" s="78" t="s">
        <v>150</v>
      </c>
      <c r="G44" s="79">
        <v>1233529</v>
      </c>
    </row>
    <row r="45" spans="2:7">
      <c r="B45" s="5" t="s">
        <v>151</v>
      </c>
      <c r="C45" s="78" t="s">
        <v>152</v>
      </c>
      <c r="D45" s="79">
        <v>0</v>
      </c>
      <c r="E45" s="77" t="s">
        <v>153</v>
      </c>
      <c r="F45" s="78" t="s">
        <v>154</v>
      </c>
      <c r="G45" s="79">
        <v>3289411</v>
      </c>
    </row>
    <row r="46" spans="2:7">
      <c r="B46" s="5" t="s">
        <v>155</v>
      </c>
      <c r="C46" s="78" t="s">
        <v>156</v>
      </c>
      <c r="D46" s="79">
        <v>1526545</v>
      </c>
      <c r="E46" s="77" t="s">
        <v>157</v>
      </c>
      <c r="F46" s="78" t="s">
        <v>158</v>
      </c>
      <c r="G46" s="79">
        <v>8140843</v>
      </c>
    </row>
    <row r="47" spans="2:7" ht="16.5" thickBot="1">
      <c r="B47" s="5"/>
      <c r="C47" s="85" t="s">
        <v>159</v>
      </c>
      <c r="D47" s="86">
        <f>SUM(D36:D46)</f>
        <v>47902946</v>
      </c>
      <c r="E47" s="77" t="s">
        <v>160</v>
      </c>
      <c r="F47" s="78" t="s">
        <v>161</v>
      </c>
      <c r="G47" s="84">
        <v>3752018</v>
      </c>
    </row>
    <row r="48" spans="2:7" ht="16.5" thickBot="1">
      <c r="B48" s="5"/>
      <c r="C48" s="92" t="s">
        <v>162</v>
      </c>
      <c r="D48" s="93"/>
      <c r="E48" s="77"/>
      <c r="F48" s="85" t="s">
        <v>163</v>
      </c>
      <c r="G48" s="94">
        <f>+G33+G40+G47</f>
        <v>106631175</v>
      </c>
    </row>
    <row r="49" spans="2:7">
      <c r="B49" s="5" t="s">
        <v>164</v>
      </c>
      <c r="C49" s="95" t="s">
        <v>165</v>
      </c>
      <c r="D49" s="96">
        <v>546024</v>
      </c>
      <c r="E49" s="77" t="s">
        <v>166</v>
      </c>
      <c r="F49" s="80" t="s">
        <v>167</v>
      </c>
      <c r="G49" s="81">
        <v>37242400</v>
      </c>
    </row>
    <row r="50" spans="2:7">
      <c r="B50" s="5" t="s">
        <v>168</v>
      </c>
      <c r="C50" s="78" t="s">
        <v>162</v>
      </c>
      <c r="D50" s="79">
        <v>6053468</v>
      </c>
      <c r="E50" s="77" t="s">
        <v>169</v>
      </c>
      <c r="F50" s="78" t="s">
        <v>170</v>
      </c>
      <c r="G50" s="79">
        <v>51035343</v>
      </c>
    </row>
    <row r="51" spans="2:7">
      <c r="B51" s="5" t="s">
        <v>171</v>
      </c>
      <c r="C51" s="78" t="s">
        <v>172</v>
      </c>
      <c r="D51" s="84">
        <v>33742</v>
      </c>
      <c r="E51" s="77" t="s">
        <v>173</v>
      </c>
      <c r="F51" s="78" t="s">
        <v>174</v>
      </c>
      <c r="G51" s="79">
        <v>0</v>
      </c>
    </row>
    <row r="52" spans="2:7" ht="16.5" thickBot="1">
      <c r="B52" s="11"/>
      <c r="C52" s="85" t="s">
        <v>175</v>
      </c>
      <c r="D52" s="86">
        <f>SUM(D49:D51)</f>
        <v>6633234</v>
      </c>
      <c r="E52" s="77" t="s">
        <v>176</v>
      </c>
      <c r="F52" s="78" t="s">
        <v>177</v>
      </c>
      <c r="G52" s="79">
        <v>12747083</v>
      </c>
    </row>
    <row r="53" spans="2:7" ht="16.5" thickBot="1">
      <c r="B53" s="5"/>
      <c r="C53" s="75" t="s">
        <v>178</v>
      </c>
      <c r="D53" s="97">
        <f>D20+D35+D47+D52</f>
        <v>1794086727</v>
      </c>
      <c r="E53" s="77" t="s">
        <v>179</v>
      </c>
      <c r="F53" s="78" t="s">
        <v>180</v>
      </c>
      <c r="G53" s="79">
        <v>7456311</v>
      </c>
    </row>
    <row r="54" spans="2:7">
      <c r="C54" s="98"/>
      <c r="D54" s="99"/>
      <c r="E54" s="77" t="s">
        <v>181</v>
      </c>
      <c r="F54" s="78" t="s">
        <v>182</v>
      </c>
      <c r="G54" s="79">
        <v>3882042</v>
      </c>
    </row>
    <row r="55" spans="2:7">
      <c r="C55" s="100" t="s">
        <v>183</v>
      </c>
      <c r="D55" s="101"/>
      <c r="E55" s="77" t="s">
        <v>184</v>
      </c>
      <c r="F55" s="78" t="s">
        <v>185</v>
      </c>
      <c r="G55" s="79">
        <v>1453909</v>
      </c>
    </row>
    <row r="56" spans="2:7">
      <c r="B56" s="5" t="s">
        <v>186</v>
      </c>
      <c r="C56" s="102" t="s">
        <v>187</v>
      </c>
      <c r="D56" s="79"/>
      <c r="E56" s="77" t="s">
        <v>188</v>
      </c>
      <c r="F56" s="78" t="s">
        <v>189</v>
      </c>
      <c r="G56" s="84">
        <v>4085897</v>
      </c>
    </row>
    <row r="57" spans="2:7" ht="14.25" customHeight="1" thickBot="1">
      <c r="B57" s="5" t="s">
        <v>190</v>
      </c>
      <c r="C57" s="102" t="s">
        <v>191</v>
      </c>
      <c r="D57" s="79">
        <v>-412083</v>
      </c>
      <c r="E57" s="77"/>
      <c r="F57" s="85" t="s">
        <v>192</v>
      </c>
      <c r="G57" s="86">
        <f>SUM(G49:G56)</f>
        <v>117902985</v>
      </c>
    </row>
    <row r="58" spans="2:7">
      <c r="B58" s="5" t="s">
        <v>193</v>
      </c>
      <c r="C58" s="102" t="s">
        <v>194</v>
      </c>
      <c r="D58" s="79">
        <v>-70941</v>
      </c>
      <c r="E58" s="77" t="s">
        <v>195</v>
      </c>
      <c r="F58" s="80" t="s">
        <v>196</v>
      </c>
      <c r="G58" s="81">
        <v>0</v>
      </c>
    </row>
    <row r="59" spans="2:7">
      <c r="B59" s="5" t="s">
        <v>197</v>
      </c>
      <c r="C59" s="78" t="s">
        <v>198</v>
      </c>
      <c r="D59" s="84">
        <v>-16425</v>
      </c>
      <c r="E59" s="77" t="s">
        <v>199</v>
      </c>
      <c r="F59" s="78" t="s">
        <v>200</v>
      </c>
      <c r="G59" s="79">
        <v>51538534</v>
      </c>
    </row>
    <row r="60" spans="2:7" ht="16.5" thickBot="1">
      <c r="B60" s="5"/>
      <c r="C60" s="85" t="s">
        <v>201</v>
      </c>
      <c r="D60" s="86">
        <f>SUM(D56:D59)</f>
        <v>-499449</v>
      </c>
      <c r="E60" s="77" t="s">
        <v>202</v>
      </c>
      <c r="F60" s="78" t="s">
        <v>203</v>
      </c>
      <c r="G60" s="79">
        <v>624931</v>
      </c>
    </row>
    <row r="61" spans="2:7" ht="16.5" thickBot="1">
      <c r="B61" s="15"/>
      <c r="C61" s="72" t="s">
        <v>204</v>
      </c>
      <c r="D61" s="103">
        <f>D53+D60</f>
        <v>1793587278</v>
      </c>
      <c r="E61" s="77" t="s">
        <v>205</v>
      </c>
      <c r="F61" s="78" t="s">
        <v>206</v>
      </c>
      <c r="G61" s="79">
        <v>3090693</v>
      </c>
    </row>
    <row r="62" spans="2:7">
      <c r="B62" s="16"/>
      <c r="C62" s="104"/>
      <c r="D62" s="104"/>
      <c r="E62" s="77" t="s">
        <v>207</v>
      </c>
      <c r="F62" s="78" t="s">
        <v>208</v>
      </c>
      <c r="G62" s="79">
        <v>12049450</v>
      </c>
    </row>
    <row r="63" spans="2:7">
      <c r="B63" s="17"/>
      <c r="C63" s="105" t="s">
        <v>8</v>
      </c>
      <c r="D63" s="105"/>
      <c r="E63" s="77" t="s">
        <v>209</v>
      </c>
      <c r="F63" s="78" t="s">
        <v>210</v>
      </c>
      <c r="G63" s="79">
        <v>4812120</v>
      </c>
    </row>
    <row r="64" spans="2:7">
      <c r="B64" s="18" t="s">
        <v>211</v>
      </c>
      <c r="C64" s="106" t="s">
        <v>212</v>
      </c>
      <c r="D64" s="106">
        <f>[7]Amortizaciones!D6</f>
        <v>11734449</v>
      </c>
      <c r="E64" s="77" t="s">
        <v>213</v>
      </c>
      <c r="F64" s="78" t="s">
        <v>214</v>
      </c>
      <c r="G64" s="79">
        <v>6832188</v>
      </c>
    </row>
    <row r="65" spans="2:7">
      <c r="B65" s="18" t="s">
        <v>215</v>
      </c>
      <c r="C65" s="106" t="s">
        <v>216</v>
      </c>
      <c r="D65" s="106">
        <f>[7]Amortizaciones!D7</f>
        <v>0</v>
      </c>
      <c r="E65" s="77" t="s">
        <v>217</v>
      </c>
      <c r="F65" s="78" t="s">
        <v>218</v>
      </c>
      <c r="G65" s="79">
        <v>23298700</v>
      </c>
    </row>
    <row r="66" spans="2:7">
      <c r="B66" s="18" t="s">
        <v>219</v>
      </c>
      <c r="C66" s="106" t="s">
        <v>220</v>
      </c>
      <c r="D66" s="106">
        <f>[7]Amortizaciones!D8</f>
        <v>6601742</v>
      </c>
      <c r="E66" s="77" t="s">
        <v>221</v>
      </c>
      <c r="F66" s="78" t="s">
        <v>222</v>
      </c>
      <c r="G66" s="79">
        <v>6860151</v>
      </c>
    </row>
    <row r="67" spans="2:7">
      <c r="B67" s="18" t="s">
        <v>223</v>
      </c>
      <c r="C67" s="106" t="s">
        <v>224</v>
      </c>
      <c r="D67" s="106">
        <f>[7]Amortizaciones!D9</f>
        <v>0</v>
      </c>
      <c r="E67" s="77" t="s">
        <v>225</v>
      </c>
      <c r="F67" s="78" t="s">
        <v>226</v>
      </c>
      <c r="G67" s="79">
        <v>10768423</v>
      </c>
    </row>
    <row r="68" spans="2:7">
      <c r="B68" s="18" t="s">
        <v>227</v>
      </c>
      <c r="C68" s="106" t="s">
        <v>228</v>
      </c>
      <c r="D68" s="106">
        <f>[7]Amortizaciones!D10</f>
        <v>139386</v>
      </c>
      <c r="E68" s="77" t="s">
        <v>229</v>
      </c>
      <c r="F68" s="78" t="s">
        <v>230</v>
      </c>
      <c r="G68" s="79">
        <v>0</v>
      </c>
    </row>
    <row r="69" spans="2:7">
      <c r="B69" s="18" t="s">
        <v>231</v>
      </c>
      <c r="C69" s="106" t="s">
        <v>232</v>
      </c>
      <c r="D69" s="106">
        <f>[7]Amortizaciones!D11</f>
        <v>45091</v>
      </c>
      <c r="E69" s="77" t="s">
        <v>233</v>
      </c>
      <c r="F69" s="78" t="s">
        <v>234</v>
      </c>
      <c r="G69" s="79">
        <v>2986518</v>
      </c>
    </row>
    <row r="70" spans="2:7">
      <c r="B70" s="18" t="s">
        <v>235</v>
      </c>
      <c r="C70" s="106" t="s">
        <v>236</v>
      </c>
      <c r="D70" s="106">
        <f>[7]Amortizaciones!D12</f>
        <v>1016154</v>
      </c>
      <c r="E70" s="77" t="s">
        <v>237</v>
      </c>
      <c r="F70" s="78" t="s">
        <v>238</v>
      </c>
      <c r="G70" s="79">
        <v>3337224</v>
      </c>
    </row>
    <row r="71" spans="2:7">
      <c r="B71" s="18" t="s">
        <v>239</v>
      </c>
      <c r="C71" s="106" t="s">
        <v>240</v>
      </c>
      <c r="D71" s="106">
        <f>[7]Amortizaciones!D13</f>
        <v>836471</v>
      </c>
      <c r="E71" s="77" t="s">
        <v>241</v>
      </c>
      <c r="F71" s="78" t="s">
        <v>242</v>
      </c>
      <c r="G71" s="79">
        <v>0</v>
      </c>
    </row>
    <row r="72" spans="2:7">
      <c r="B72" s="18" t="s">
        <v>243</v>
      </c>
      <c r="C72" s="106" t="s">
        <v>244</v>
      </c>
      <c r="D72" s="106">
        <f>[7]Amortizaciones!D14</f>
        <v>2067388</v>
      </c>
      <c r="E72" s="77" t="s">
        <v>245</v>
      </c>
      <c r="F72" s="78" t="s">
        <v>246</v>
      </c>
      <c r="G72" s="79">
        <v>7564214</v>
      </c>
    </row>
    <row r="73" spans="2:7">
      <c r="B73" s="18" t="s">
        <v>247</v>
      </c>
      <c r="C73" s="106" t="s">
        <v>248</v>
      </c>
      <c r="D73" s="106">
        <f>[7]Amortizaciones!D15</f>
        <v>0</v>
      </c>
      <c r="E73" s="77" t="s">
        <v>249</v>
      </c>
      <c r="F73" s="78" t="s">
        <v>250</v>
      </c>
      <c r="G73" s="79">
        <v>424178</v>
      </c>
    </row>
    <row r="74" spans="2:7">
      <c r="B74" s="18" t="s">
        <v>251</v>
      </c>
      <c r="C74" s="106" t="s">
        <v>252</v>
      </c>
      <c r="D74" s="106">
        <f>[7]Amortizaciones!D16</f>
        <v>904306</v>
      </c>
      <c r="E74" s="77" t="s">
        <v>253</v>
      </c>
      <c r="F74" s="78" t="s">
        <v>254</v>
      </c>
      <c r="G74" s="79">
        <v>0</v>
      </c>
    </row>
    <row r="75" spans="2:7">
      <c r="B75" s="18" t="s">
        <v>255</v>
      </c>
      <c r="C75" s="106" t="s">
        <v>256</v>
      </c>
      <c r="D75" s="106">
        <f>[7]Amortizaciones!D17</f>
        <v>0</v>
      </c>
      <c r="E75" s="77" t="s">
        <v>257</v>
      </c>
      <c r="F75" s="78" t="s">
        <v>258</v>
      </c>
      <c r="G75" s="79">
        <v>3967911</v>
      </c>
    </row>
    <row r="76" spans="2:7">
      <c r="B76" s="18" t="s">
        <v>259</v>
      </c>
      <c r="C76" s="106" t="s">
        <v>260</v>
      </c>
      <c r="D76" s="106">
        <f>[7]Amortizaciones!D18</f>
        <v>0</v>
      </c>
      <c r="E76" s="77" t="s">
        <v>261</v>
      </c>
      <c r="F76" s="78" t="s">
        <v>262</v>
      </c>
      <c r="G76" s="79">
        <v>15677653</v>
      </c>
    </row>
    <row r="77" spans="2:7">
      <c r="B77" s="18" t="s">
        <v>263</v>
      </c>
      <c r="C77" s="106" t="s">
        <v>264</v>
      </c>
      <c r="D77" s="106">
        <f>SUM(D64:D76)</f>
        <v>23344987</v>
      </c>
      <c r="E77" s="77" t="s">
        <v>265</v>
      </c>
      <c r="F77" s="78" t="s">
        <v>266</v>
      </c>
      <c r="G77" s="79">
        <v>66195482</v>
      </c>
    </row>
    <row r="78" spans="2:7">
      <c r="B78" s="18"/>
      <c r="C78" s="106"/>
      <c r="D78" s="106"/>
      <c r="E78" s="77" t="s">
        <v>267</v>
      </c>
      <c r="F78" s="78" t="s">
        <v>268</v>
      </c>
      <c r="G78" s="84">
        <v>7407474</v>
      </c>
    </row>
    <row r="79" spans="2:7" ht="16.5" thickBot="1">
      <c r="B79" s="18"/>
      <c r="C79" s="105" t="s">
        <v>269</v>
      </c>
      <c r="D79" s="107"/>
      <c r="E79" s="77"/>
      <c r="F79" s="85" t="s">
        <v>270</v>
      </c>
      <c r="G79" s="86">
        <f>SUM(G58:G78)</f>
        <v>227435844</v>
      </c>
    </row>
    <row r="80" spans="2:7">
      <c r="B80" s="18" t="s">
        <v>271</v>
      </c>
      <c r="C80" s="106" t="s">
        <v>236</v>
      </c>
      <c r="D80" s="106">
        <f>[7]Amortizaciones!D22</f>
        <v>254038</v>
      </c>
      <c r="E80" s="77" t="s">
        <v>272</v>
      </c>
      <c r="F80" s="80" t="s">
        <v>273</v>
      </c>
      <c r="G80" s="81">
        <v>0</v>
      </c>
    </row>
    <row r="81" spans="2:7">
      <c r="B81" s="18" t="s">
        <v>274</v>
      </c>
      <c r="C81" s="106" t="s">
        <v>240</v>
      </c>
      <c r="D81" s="106">
        <f>[7]Amortizaciones!D23</f>
        <v>92941</v>
      </c>
      <c r="E81" s="77" t="s">
        <v>275</v>
      </c>
      <c r="F81" s="78" t="s">
        <v>276</v>
      </c>
      <c r="G81" s="79">
        <v>5493538</v>
      </c>
    </row>
    <row r="82" spans="2:7">
      <c r="B82" s="18" t="s">
        <v>277</v>
      </c>
      <c r="C82" s="106" t="s">
        <v>244</v>
      </c>
      <c r="D82" s="106">
        <f>[7]Amortizaciones!D24</f>
        <v>42192</v>
      </c>
      <c r="E82" s="77" t="s">
        <v>278</v>
      </c>
      <c r="F82" s="78" t="s">
        <v>279</v>
      </c>
      <c r="G82" s="79">
        <v>2378543</v>
      </c>
    </row>
    <row r="83" spans="2:7">
      <c r="B83" s="18" t="s">
        <v>280</v>
      </c>
      <c r="C83" s="106" t="s">
        <v>248</v>
      </c>
      <c r="D83" s="106">
        <f>[7]Amortizaciones!D25</f>
        <v>0</v>
      </c>
      <c r="E83" s="77" t="s">
        <v>281</v>
      </c>
      <c r="F83" s="78" t="s">
        <v>282</v>
      </c>
      <c r="G83" s="79">
        <v>3575924</v>
      </c>
    </row>
    <row r="84" spans="2:7">
      <c r="B84" s="18" t="s">
        <v>283</v>
      </c>
      <c r="C84" s="106" t="s">
        <v>284</v>
      </c>
      <c r="D84" s="106">
        <v>0</v>
      </c>
      <c r="E84" s="77" t="s">
        <v>285</v>
      </c>
      <c r="F84" s="78" t="s">
        <v>286</v>
      </c>
      <c r="G84" s="79">
        <v>9176387</v>
      </c>
    </row>
    <row r="85" spans="2:7">
      <c r="B85" s="18" t="s">
        <v>287</v>
      </c>
      <c r="C85" s="106" t="s">
        <v>288</v>
      </c>
      <c r="D85" s="106">
        <f>[7]Amortizaciones!D27</f>
        <v>0</v>
      </c>
      <c r="E85" s="77" t="s">
        <v>289</v>
      </c>
      <c r="F85" s="78" t="s">
        <v>290</v>
      </c>
      <c r="G85" s="79">
        <v>2944854</v>
      </c>
    </row>
    <row r="86" spans="2:7" ht="13.5" customHeight="1">
      <c r="B86" s="18" t="s">
        <v>291</v>
      </c>
      <c r="C86" s="106" t="s">
        <v>292</v>
      </c>
      <c r="D86" s="106">
        <f>[7]Amortizaciones!D28</f>
        <v>0</v>
      </c>
      <c r="E86" s="77" t="s">
        <v>293</v>
      </c>
      <c r="F86" s="78" t="s">
        <v>294</v>
      </c>
      <c r="G86" s="79">
        <v>420022</v>
      </c>
    </row>
    <row r="87" spans="2:7" ht="13.5" customHeight="1">
      <c r="B87" s="18" t="s">
        <v>295</v>
      </c>
      <c r="C87" s="106" t="s">
        <v>296</v>
      </c>
      <c r="D87" s="106">
        <f>[7]Amortizaciones!D29</f>
        <v>0</v>
      </c>
      <c r="E87" s="77" t="s">
        <v>297</v>
      </c>
      <c r="F87" s="78" t="s">
        <v>298</v>
      </c>
      <c r="G87" s="79">
        <v>141684</v>
      </c>
    </row>
    <row r="88" spans="2:7" ht="13.5" customHeight="1">
      <c r="B88" s="18" t="s">
        <v>299</v>
      </c>
      <c r="C88" s="106" t="s">
        <v>300</v>
      </c>
      <c r="D88" s="106">
        <f>[7]Amortizaciones!D30</f>
        <v>226077</v>
      </c>
      <c r="E88" s="77" t="s">
        <v>301</v>
      </c>
      <c r="F88" s="78" t="s">
        <v>302</v>
      </c>
      <c r="G88" s="79"/>
    </row>
    <row r="89" spans="2:7">
      <c r="B89" s="18" t="s">
        <v>303</v>
      </c>
      <c r="C89" s="106" t="s">
        <v>212</v>
      </c>
      <c r="D89" s="106">
        <f>[7]Amortizaciones!D31</f>
        <v>239479</v>
      </c>
      <c r="E89" s="77" t="s">
        <v>304</v>
      </c>
      <c r="F89" s="78" t="s">
        <v>305</v>
      </c>
      <c r="G89" s="79">
        <v>42361717</v>
      </c>
    </row>
    <row r="90" spans="2:7" ht="14.25" customHeight="1">
      <c r="B90" s="18" t="s">
        <v>306</v>
      </c>
      <c r="C90" s="106" t="s">
        <v>228</v>
      </c>
      <c r="D90" s="106">
        <f>[7]Amortizaciones!D32</f>
        <v>34847</v>
      </c>
      <c r="E90" s="77" t="s">
        <v>307</v>
      </c>
      <c r="F90" s="78" t="s">
        <v>308</v>
      </c>
      <c r="G90" s="79">
        <v>0</v>
      </c>
    </row>
    <row r="91" spans="2:7" ht="14.25" customHeight="1">
      <c r="B91" s="18" t="s">
        <v>309</v>
      </c>
      <c r="C91" s="106" t="s">
        <v>310</v>
      </c>
      <c r="D91" s="106">
        <f>SUM(D80:D90)</f>
        <v>889574</v>
      </c>
      <c r="E91" s="108" t="s">
        <v>311</v>
      </c>
      <c r="F91" s="78" t="s">
        <v>312</v>
      </c>
      <c r="G91" s="79">
        <v>0</v>
      </c>
    </row>
    <row r="92" spans="2:7" ht="14.25" customHeight="1">
      <c r="B92" s="18"/>
      <c r="C92" s="109" t="s">
        <v>313</v>
      </c>
      <c r="D92" s="106">
        <f>D77+D91</f>
        <v>24234561</v>
      </c>
      <c r="E92" s="108" t="s">
        <v>314</v>
      </c>
      <c r="F92" s="78" t="s">
        <v>315</v>
      </c>
      <c r="G92" s="79">
        <v>0</v>
      </c>
    </row>
    <row r="93" spans="2:7">
      <c r="C93" s="104"/>
      <c r="D93" s="104"/>
      <c r="E93" s="108" t="s">
        <v>316</v>
      </c>
      <c r="F93" s="78" t="s">
        <v>317</v>
      </c>
      <c r="G93" s="79">
        <v>208536</v>
      </c>
    </row>
    <row r="94" spans="2:7">
      <c r="C94" s="104"/>
      <c r="D94" s="104"/>
      <c r="E94" s="108" t="s">
        <v>318</v>
      </c>
      <c r="F94" s="78" t="s">
        <v>319</v>
      </c>
      <c r="G94" s="84">
        <v>2284070</v>
      </c>
    </row>
    <row r="95" spans="2:7" ht="13.5" customHeight="1" thickBot="1">
      <c r="C95" s="104"/>
      <c r="D95" s="104"/>
      <c r="E95" s="77"/>
      <c r="F95" s="85" t="s">
        <v>320</v>
      </c>
      <c r="G95" s="86">
        <f>SUM(G80:G94)</f>
        <v>68985275</v>
      </c>
    </row>
    <row r="96" spans="2:7">
      <c r="C96" s="104"/>
      <c r="D96" s="104"/>
      <c r="E96" s="108" t="s">
        <v>321</v>
      </c>
      <c r="F96" s="80" t="s">
        <v>322</v>
      </c>
      <c r="G96" s="81">
        <v>1729087</v>
      </c>
    </row>
    <row r="97" spans="2:7">
      <c r="C97" s="104"/>
      <c r="D97" s="104"/>
      <c r="E97" s="108" t="s">
        <v>323</v>
      </c>
      <c r="F97" s="78" t="s">
        <v>324</v>
      </c>
      <c r="G97" s="79">
        <v>5021755</v>
      </c>
    </row>
    <row r="98" spans="2:7">
      <c r="C98" s="104"/>
      <c r="D98" s="104"/>
      <c r="E98" s="108" t="s">
        <v>325</v>
      </c>
      <c r="F98" s="78" t="s">
        <v>326</v>
      </c>
      <c r="G98" s="79">
        <v>995497</v>
      </c>
    </row>
    <row r="99" spans="2:7">
      <c r="C99" s="104"/>
      <c r="D99" s="104"/>
      <c r="E99" s="108" t="s">
        <v>327</v>
      </c>
      <c r="F99" s="78" t="s">
        <v>328</v>
      </c>
      <c r="G99" s="79">
        <v>1020787</v>
      </c>
    </row>
    <row r="100" spans="2:7">
      <c r="C100" s="104"/>
      <c r="D100" s="104"/>
      <c r="E100" s="108" t="s">
        <v>329</v>
      </c>
      <c r="F100" s="78" t="s">
        <v>330</v>
      </c>
      <c r="G100" s="84">
        <v>300579</v>
      </c>
    </row>
    <row r="101" spans="2:7" ht="12.75" customHeight="1" thickBot="1">
      <c r="C101" s="104"/>
      <c r="D101" s="104"/>
      <c r="E101" s="77"/>
      <c r="F101" s="85" t="s">
        <v>331</v>
      </c>
      <c r="G101" s="86">
        <f>SUM(G96:G100)</f>
        <v>9067705</v>
      </c>
    </row>
    <row r="102" spans="2:7" ht="12.75" customHeight="1" thickBot="1">
      <c r="C102" s="104"/>
      <c r="D102" s="104"/>
      <c r="E102" s="108"/>
      <c r="F102" s="110" t="s">
        <v>332</v>
      </c>
      <c r="G102" s="111">
        <f>[7]Amortizaciones!D19</f>
        <v>23344987</v>
      </c>
    </row>
    <row r="103" spans="2:7">
      <c r="C103" s="104"/>
      <c r="D103" s="104"/>
      <c r="E103" s="108" t="s">
        <v>333</v>
      </c>
      <c r="F103" s="78" t="s">
        <v>334</v>
      </c>
      <c r="G103" s="81">
        <v>0</v>
      </c>
    </row>
    <row r="104" spans="2:7">
      <c r="C104" s="104"/>
      <c r="D104" s="104"/>
      <c r="E104" s="108" t="s">
        <v>335</v>
      </c>
      <c r="F104" s="112" t="s">
        <v>336</v>
      </c>
      <c r="G104" s="79">
        <v>0</v>
      </c>
    </row>
    <row r="105" spans="2:7" ht="14.25" customHeight="1" thickBot="1">
      <c r="C105" s="104"/>
      <c r="D105" s="104"/>
      <c r="E105" s="77"/>
      <c r="F105" s="85" t="s">
        <v>337</v>
      </c>
      <c r="G105" s="86">
        <f>SUM(G103:G104)</f>
        <v>0</v>
      </c>
    </row>
    <row r="106" spans="2:7" ht="14.25" customHeight="1" thickBot="1">
      <c r="B106" s="5"/>
      <c r="C106" s="113"/>
      <c r="D106" s="113"/>
      <c r="E106" s="108"/>
      <c r="F106" s="72" t="s">
        <v>338</v>
      </c>
      <c r="G106" s="103">
        <f>G19+G27+G32+G48+G57+G79+G95+G101+G102+G105</f>
        <v>1618373095</v>
      </c>
    </row>
    <row r="107" spans="2:7" ht="5.25" customHeight="1">
      <c r="B107" s="5"/>
      <c r="C107" s="113"/>
      <c r="D107" s="113"/>
      <c r="E107" s="77"/>
      <c r="F107" s="114"/>
      <c r="G107" s="115"/>
    </row>
    <row r="108" spans="2:7" ht="5.25" customHeight="1" thickBot="1">
      <c r="B108" s="5"/>
      <c r="C108" s="113"/>
      <c r="D108" s="113"/>
      <c r="E108" s="77"/>
      <c r="F108" s="116"/>
      <c r="G108" s="116"/>
    </row>
    <row r="109" spans="2:7" ht="16.5" customHeight="1" thickBot="1">
      <c r="B109" s="5"/>
      <c r="C109" s="113"/>
      <c r="D109" s="113"/>
      <c r="E109" s="77"/>
      <c r="F109" s="72" t="s">
        <v>339</v>
      </c>
      <c r="G109" s="103">
        <f>D61-G106</f>
        <v>175214183</v>
      </c>
    </row>
    <row r="110" spans="2:7" ht="6.75" customHeight="1" thickBot="1">
      <c r="B110" s="5"/>
      <c r="C110" s="117"/>
      <c r="D110" s="117"/>
      <c r="E110" s="77"/>
      <c r="F110" s="116"/>
      <c r="G110" s="116"/>
    </row>
    <row r="111" spans="2:7" ht="15" customHeight="1" thickBot="1">
      <c r="C111" s="72" t="s">
        <v>269</v>
      </c>
      <c r="D111" s="118">
        <f>+[7]E.S.P.!D6</f>
        <v>2021</v>
      </c>
      <c r="E111" s="108"/>
      <c r="F111" s="72" t="s">
        <v>340</v>
      </c>
      <c r="G111" s="118">
        <f>+[7]E.S.P.!D6</f>
        <v>2021</v>
      </c>
    </row>
    <row r="112" spans="2:7" ht="13.7" customHeight="1">
      <c r="B112" s="5" t="s">
        <v>341</v>
      </c>
      <c r="C112" s="119" t="s">
        <v>342</v>
      </c>
      <c r="D112" s="120">
        <v>8650252</v>
      </c>
      <c r="E112" s="77" t="s">
        <v>343</v>
      </c>
      <c r="F112" s="119" t="s">
        <v>308</v>
      </c>
      <c r="G112" s="120">
        <v>277725</v>
      </c>
    </row>
    <row r="113" spans="2:7" ht="13.7" customHeight="1">
      <c r="B113" s="5" t="s">
        <v>344</v>
      </c>
      <c r="C113" s="121" t="s">
        <v>345</v>
      </c>
      <c r="D113" s="122">
        <v>120267492</v>
      </c>
      <c r="E113" s="77" t="s">
        <v>346</v>
      </c>
      <c r="F113" s="121" t="s">
        <v>347</v>
      </c>
      <c r="G113" s="122">
        <v>0</v>
      </c>
    </row>
    <row r="114" spans="2:7" ht="13.7" customHeight="1">
      <c r="B114" s="5" t="s">
        <v>348</v>
      </c>
      <c r="C114" s="121" t="s">
        <v>48</v>
      </c>
      <c r="D114" s="122">
        <v>13630302</v>
      </c>
      <c r="E114" s="77" t="s">
        <v>349</v>
      </c>
      <c r="F114" s="121" t="s">
        <v>350</v>
      </c>
      <c r="G114" s="122">
        <v>0</v>
      </c>
    </row>
    <row r="115" spans="2:7" ht="13.7" customHeight="1">
      <c r="B115" s="5" t="s">
        <v>351</v>
      </c>
      <c r="C115" s="121" t="s">
        <v>352</v>
      </c>
      <c r="D115" s="122">
        <v>322424</v>
      </c>
      <c r="E115" s="77" t="s">
        <v>353</v>
      </c>
      <c r="F115" s="121" t="s">
        <v>354</v>
      </c>
      <c r="G115" s="122">
        <v>0</v>
      </c>
    </row>
    <row r="116" spans="2:7" ht="13.7" customHeight="1">
      <c r="B116" s="5" t="s">
        <v>355</v>
      </c>
      <c r="C116" s="121" t="s">
        <v>356</v>
      </c>
      <c r="D116" s="122">
        <v>4984766</v>
      </c>
      <c r="E116" s="77" t="s">
        <v>357</v>
      </c>
      <c r="F116" s="121" t="s">
        <v>358</v>
      </c>
      <c r="G116" s="122">
        <v>0</v>
      </c>
    </row>
    <row r="117" spans="2:7" ht="13.7" customHeight="1">
      <c r="B117" s="5" t="s">
        <v>359</v>
      </c>
      <c r="C117" s="121" t="s">
        <v>360</v>
      </c>
      <c r="D117" s="122">
        <v>847509</v>
      </c>
      <c r="E117" s="77" t="s">
        <v>361</v>
      </c>
      <c r="F117" s="121" t="s">
        <v>362</v>
      </c>
      <c r="G117" s="122">
        <v>0</v>
      </c>
    </row>
    <row r="118" spans="2:7" ht="13.7" customHeight="1">
      <c r="B118" s="5" t="s">
        <v>363</v>
      </c>
      <c r="C118" s="121" t="s">
        <v>364</v>
      </c>
      <c r="D118" s="122">
        <v>0</v>
      </c>
      <c r="E118" s="77" t="s">
        <v>365</v>
      </c>
      <c r="F118" s="121" t="s">
        <v>366</v>
      </c>
      <c r="G118" s="122">
        <v>0</v>
      </c>
    </row>
    <row r="119" spans="2:7" ht="13.7" customHeight="1">
      <c r="B119" s="5" t="s">
        <v>367</v>
      </c>
      <c r="C119" s="121" t="s">
        <v>368</v>
      </c>
      <c r="D119" s="122">
        <v>2314818</v>
      </c>
      <c r="E119" s="77" t="s">
        <v>369</v>
      </c>
      <c r="F119" s="121" t="s">
        <v>370</v>
      </c>
      <c r="G119" s="122">
        <v>0</v>
      </c>
    </row>
    <row r="120" spans="2:7" ht="13.7" customHeight="1">
      <c r="B120" s="5" t="s">
        <v>371</v>
      </c>
      <c r="C120" s="121" t="s">
        <v>372</v>
      </c>
      <c r="D120" s="122">
        <v>0</v>
      </c>
      <c r="E120" s="77" t="s">
        <v>373</v>
      </c>
      <c r="F120" s="121" t="s">
        <v>374</v>
      </c>
      <c r="G120" s="122">
        <v>0</v>
      </c>
    </row>
    <row r="121" spans="2:7" ht="13.7" customHeight="1">
      <c r="B121" s="5" t="s">
        <v>375</v>
      </c>
      <c r="C121" s="78" t="s">
        <v>376</v>
      </c>
      <c r="D121" s="122">
        <v>5328791</v>
      </c>
      <c r="E121" s="77" t="s">
        <v>377</v>
      </c>
      <c r="F121" s="121" t="s">
        <v>378</v>
      </c>
      <c r="G121" s="122">
        <v>1295325</v>
      </c>
    </row>
    <row r="122" spans="2:7" ht="13.7" customHeight="1" thickBot="1">
      <c r="B122" s="5"/>
      <c r="C122" s="85" t="s">
        <v>379</v>
      </c>
      <c r="D122" s="94">
        <f>SUM(D112:D121)</f>
        <v>156346354</v>
      </c>
      <c r="E122" s="77" t="s">
        <v>380</v>
      </c>
      <c r="F122" s="78" t="s">
        <v>381</v>
      </c>
      <c r="G122" s="79">
        <v>72964</v>
      </c>
    </row>
    <row r="123" spans="2:7" ht="13.7" customHeight="1" thickBot="1">
      <c r="B123" s="5" t="s">
        <v>382</v>
      </c>
      <c r="C123" s="123" t="s">
        <v>308</v>
      </c>
      <c r="D123" s="120">
        <v>6606813</v>
      </c>
      <c r="E123" s="108"/>
      <c r="F123" s="85" t="s">
        <v>383</v>
      </c>
      <c r="G123" s="94">
        <f>SUM(G112:G122)</f>
        <v>1646014</v>
      </c>
    </row>
    <row r="124" spans="2:7" ht="13.7" customHeight="1">
      <c r="B124" s="5" t="s">
        <v>384</v>
      </c>
      <c r="C124" s="121" t="s">
        <v>312</v>
      </c>
      <c r="D124" s="122">
        <v>5289494</v>
      </c>
      <c r="E124" s="77" t="s">
        <v>385</v>
      </c>
      <c r="F124" s="121" t="s">
        <v>386</v>
      </c>
      <c r="G124" s="122">
        <v>0</v>
      </c>
    </row>
    <row r="125" spans="2:7" ht="13.7" customHeight="1">
      <c r="B125" s="5" t="s">
        <v>387</v>
      </c>
      <c r="C125" s="78" t="s">
        <v>388</v>
      </c>
      <c r="D125" s="122">
        <v>392900</v>
      </c>
      <c r="E125" s="77" t="s">
        <v>389</v>
      </c>
      <c r="F125" s="121" t="s">
        <v>390</v>
      </c>
      <c r="G125" s="122">
        <v>452278</v>
      </c>
    </row>
    <row r="126" spans="2:7" ht="13.7" customHeight="1" thickBot="1">
      <c r="B126" s="5"/>
      <c r="C126" s="85" t="s">
        <v>391</v>
      </c>
      <c r="D126" s="94">
        <f>SUM(D123:D125)</f>
        <v>12289207</v>
      </c>
      <c r="E126" s="77" t="s">
        <v>392</v>
      </c>
      <c r="F126" s="121" t="s">
        <v>393</v>
      </c>
      <c r="G126" s="122">
        <v>0</v>
      </c>
    </row>
    <row r="127" spans="2:7" ht="13.7" customHeight="1">
      <c r="B127" s="5" t="s">
        <v>394</v>
      </c>
      <c r="C127" s="119" t="s">
        <v>273</v>
      </c>
      <c r="D127" s="120">
        <v>2262838</v>
      </c>
      <c r="E127" s="77" t="s">
        <v>395</v>
      </c>
      <c r="F127" s="121" t="s">
        <v>396</v>
      </c>
      <c r="G127" s="122">
        <v>0</v>
      </c>
    </row>
    <row r="128" spans="2:7" ht="13.7" customHeight="1">
      <c r="B128" s="5" t="s">
        <v>397</v>
      </c>
      <c r="C128" s="121" t="s">
        <v>398</v>
      </c>
      <c r="D128" s="122">
        <v>2429592</v>
      </c>
      <c r="E128" s="77" t="s">
        <v>399</v>
      </c>
      <c r="F128" s="121" t="s">
        <v>400</v>
      </c>
      <c r="G128" s="122">
        <v>0</v>
      </c>
    </row>
    <row r="129" spans="2:7" ht="13.7" customHeight="1">
      <c r="B129" s="5" t="s">
        <v>401</v>
      </c>
      <c r="C129" s="121" t="s">
        <v>276</v>
      </c>
      <c r="D129" s="122">
        <v>2842</v>
      </c>
      <c r="E129" s="77" t="s">
        <v>402</v>
      </c>
      <c r="F129" s="121" t="s">
        <v>403</v>
      </c>
      <c r="G129" s="122">
        <v>179062</v>
      </c>
    </row>
    <row r="130" spans="2:7" ht="13.7" customHeight="1">
      <c r="B130" s="5" t="s">
        <v>404</v>
      </c>
      <c r="C130" s="121" t="s">
        <v>282</v>
      </c>
      <c r="D130" s="122">
        <v>100826</v>
      </c>
      <c r="E130" s="77" t="s">
        <v>405</v>
      </c>
      <c r="F130" s="121" t="s">
        <v>406</v>
      </c>
      <c r="G130" s="122">
        <v>0</v>
      </c>
    </row>
    <row r="131" spans="2:7" ht="13.7" customHeight="1">
      <c r="B131" s="5" t="s">
        <v>407</v>
      </c>
      <c r="C131" s="121" t="s">
        <v>286</v>
      </c>
      <c r="D131" s="122">
        <v>261080</v>
      </c>
      <c r="E131" s="77" t="s">
        <v>408</v>
      </c>
      <c r="F131" s="121" t="s">
        <v>409</v>
      </c>
      <c r="G131" s="122">
        <v>0</v>
      </c>
    </row>
    <row r="132" spans="2:7" ht="13.7" customHeight="1">
      <c r="B132" s="5" t="s">
        <v>410</v>
      </c>
      <c r="C132" s="121" t="s">
        <v>290</v>
      </c>
      <c r="D132" s="122">
        <v>1358655</v>
      </c>
      <c r="E132" s="77" t="s">
        <v>411</v>
      </c>
      <c r="F132" s="121" t="s">
        <v>412</v>
      </c>
      <c r="G132" s="122">
        <v>0</v>
      </c>
    </row>
    <row r="133" spans="2:7" ht="13.7" customHeight="1">
      <c r="B133" s="5" t="s">
        <v>413</v>
      </c>
      <c r="C133" s="121" t="s">
        <v>294</v>
      </c>
      <c r="D133" s="122">
        <v>0</v>
      </c>
      <c r="E133" s="77" t="s">
        <v>414</v>
      </c>
      <c r="F133" s="121" t="s">
        <v>415</v>
      </c>
      <c r="G133" s="122">
        <v>844850</v>
      </c>
    </row>
    <row r="134" spans="2:7" ht="13.7" customHeight="1">
      <c r="B134" s="5" t="s">
        <v>416</v>
      </c>
      <c r="C134" s="121" t="s">
        <v>417</v>
      </c>
      <c r="D134" s="122">
        <v>12568594</v>
      </c>
      <c r="E134" s="77" t="s">
        <v>418</v>
      </c>
      <c r="F134" s="121" t="s">
        <v>419</v>
      </c>
      <c r="G134" s="122">
        <v>0</v>
      </c>
    </row>
    <row r="135" spans="2:7" ht="13.7" customHeight="1">
      <c r="B135" s="5" t="s">
        <v>420</v>
      </c>
      <c r="C135" s="121" t="s">
        <v>421</v>
      </c>
      <c r="D135" s="122">
        <v>0</v>
      </c>
      <c r="E135" s="77" t="s">
        <v>422</v>
      </c>
      <c r="F135" s="121" t="s">
        <v>423</v>
      </c>
      <c r="G135" s="122">
        <v>0</v>
      </c>
    </row>
    <row r="136" spans="2:7" ht="13.7" customHeight="1">
      <c r="B136" s="5" t="s">
        <v>424</v>
      </c>
      <c r="C136" s="121" t="s">
        <v>317</v>
      </c>
      <c r="D136" s="122">
        <v>1506734</v>
      </c>
      <c r="E136" s="77" t="s">
        <v>425</v>
      </c>
      <c r="F136" s="121" t="s">
        <v>426</v>
      </c>
      <c r="G136" s="122">
        <v>32486</v>
      </c>
    </row>
    <row r="137" spans="2:7" ht="13.7" customHeight="1">
      <c r="B137" s="5" t="s">
        <v>427</v>
      </c>
      <c r="C137" s="78" t="s">
        <v>319</v>
      </c>
      <c r="D137" s="124">
        <v>723150</v>
      </c>
      <c r="E137" s="77" t="s">
        <v>428</v>
      </c>
      <c r="F137" s="121" t="s">
        <v>429</v>
      </c>
      <c r="G137" s="122">
        <v>18142837</v>
      </c>
    </row>
    <row r="138" spans="2:7" ht="13.7" customHeight="1" thickBot="1">
      <c r="B138" s="5"/>
      <c r="C138" s="85" t="s">
        <v>320</v>
      </c>
      <c r="D138" s="94">
        <f>SUM(D127:D137)</f>
        <v>21214311</v>
      </c>
      <c r="E138" s="77" t="s">
        <v>430</v>
      </c>
      <c r="F138" s="78" t="s">
        <v>431</v>
      </c>
      <c r="G138" s="79">
        <v>288124</v>
      </c>
    </row>
    <row r="139" spans="2:7" ht="13.7" customHeight="1" thickBot="1">
      <c r="B139" s="5" t="s">
        <v>432</v>
      </c>
      <c r="C139" s="119" t="s">
        <v>326</v>
      </c>
      <c r="D139" s="120">
        <v>0</v>
      </c>
      <c r="E139" s="125"/>
      <c r="F139" s="85" t="s">
        <v>433</v>
      </c>
      <c r="G139" s="94">
        <f>SUM(G124:G138)</f>
        <v>19939637</v>
      </c>
    </row>
    <row r="140" spans="2:7" ht="13.7" customHeight="1" thickBot="1">
      <c r="B140" s="5" t="s">
        <v>434</v>
      </c>
      <c r="C140" s="121" t="s">
        <v>328</v>
      </c>
      <c r="D140" s="122">
        <v>152215</v>
      </c>
      <c r="E140" s="125"/>
      <c r="F140" s="110" t="s">
        <v>435</v>
      </c>
      <c r="G140" s="126">
        <f>G123-G139</f>
        <v>-18293623</v>
      </c>
    </row>
    <row r="141" spans="2:7" ht="13.7" customHeight="1">
      <c r="B141" s="5" t="s">
        <v>436</v>
      </c>
      <c r="C141" s="78" t="s">
        <v>330</v>
      </c>
      <c r="D141" s="124">
        <v>3535</v>
      </c>
      <c r="E141" s="127"/>
      <c r="F141" s="116"/>
      <c r="G141" s="116"/>
    </row>
    <row r="142" spans="2:7" ht="13.7" customHeight="1" thickBot="1">
      <c r="B142" s="5"/>
      <c r="C142" s="85" t="s">
        <v>331</v>
      </c>
      <c r="D142" s="94">
        <f>SUM(D139:D141)</f>
        <v>155750</v>
      </c>
      <c r="E142" s="127"/>
      <c r="F142" s="116"/>
      <c r="G142" s="116"/>
    </row>
    <row r="143" spans="2:7" ht="13.5" customHeight="1" thickBot="1">
      <c r="B143" s="5"/>
      <c r="C143" s="110" t="s">
        <v>332</v>
      </c>
      <c r="D143" s="126">
        <f>[7]Amortizaciones!D33</f>
        <v>889574</v>
      </c>
      <c r="E143" s="77"/>
      <c r="F143" s="72" t="s">
        <v>437</v>
      </c>
      <c r="G143" s="118">
        <f>+[7]E.S.P.!D6</f>
        <v>2021</v>
      </c>
    </row>
    <row r="144" spans="2:7" ht="13.7" customHeight="1">
      <c r="B144" s="5" t="s">
        <v>438</v>
      </c>
      <c r="C144" s="119" t="s">
        <v>439</v>
      </c>
      <c r="D144" s="120">
        <v>2278373</v>
      </c>
      <c r="E144" s="77" t="s">
        <v>440</v>
      </c>
      <c r="F144" s="119" t="s">
        <v>441</v>
      </c>
      <c r="G144" s="120">
        <v>1636261</v>
      </c>
    </row>
    <row r="145" spans="2:7" ht="13.7" customHeight="1">
      <c r="B145" s="5" t="s">
        <v>442</v>
      </c>
      <c r="C145" s="121" t="s">
        <v>443</v>
      </c>
      <c r="D145" s="122">
        <v>112047</v>
      </c>
      <c r="E145" s="77" t="s">
        <v>444</v>
      </c>
      <c r="F145" s="121" t="s">
        <v>445</v>
      </c>
      <c r="G145" s="122">
        <v>5689182</v>
      </c>
    </row>
    <row r="146" spans="2:7" ht="13.7" customHeight="1">
      <c r="B146" s="5" t="s">
        <v>446</v>
      </c>
      <c r="C146" s="128" t="s">
        <v>447</v>
      </c>
      <c r="D146" s="122">
        <v>0</v>
      </c>
      <c r="E146" s="77" t="s">
        <v>448</v>
      </c>
      <c r="F146" s="121" t="s">
        <v>449</v>
      </c>
      <c r="G146" s="122">
        <v>1083658</v>
      </c>
    </row>
    <row r="147" spans="2:7" ht="13.7" customHeight="1">
      <c r="B147" s="5" t="s">
        <v>450</v>
      </c>
      <c r="C147" s="78" t="s">
        <v>451</v>
      </c>
      <c r="D147" s="124">
        <v>93787</v>
      </c>
      <c r="E147" s="77" t="s">
        <v>452</v>
      </c>
      <c r="F147" s="121" t="s">
        <v>453</v>
      </c>
      <c r="G147" s="122">
        <v>0</v>
      </c>
    </row>
    <row r="148" spans="2:7" ht="13.7" customHeight="1" thickBot="1">
      <c r="B148" s="5"/>
      <c r="C148" s="85" t="s">
        <v>518</v>
      </c>
      <c r="D148" s="94">
        <f>SUM(D144:D147)</f>
        <v>2484207</v>
      </c>
      <c r="E148" s="77" t="s">
        <v>454</v>
      </c>
      <c r="F148" s="121" t="s">
        <v>455</v>
      </c>
      <c r="G148" s="122">
        <v>0</v>
      </c>
    </row>
    <row r="149" spans="2:7" ht="13.7" customHeight="1">
      <c r="B149" s="5" t="s">
        <v>456</v>
      </c>
      <c r="C149" s="119" t="s">
        <v>457</v>
      </c>
      <c r="D149" s="120">
        <v>0</v>
      </c>
      <c r="E149" s="77" t="s">
        <v>458</v>
      </c>
      <c r="F149" s="121" t="s">
        <v>459</v>
      </c>
      <c r="G149" s="122">
        <v>0</v>
      </c>
    </row>
    <row r="150" spans="2:7" ht="13.7" customHeight="1">
      <c r="B150" s="5" t="s">
        <v>460</v>
      </c>
      <c r="C150" s="121" t="s">
        <v>461</v>
      </c>
      <c r="D150" s="122">
        <v>0</v>
      </c>
      <c r="E150" s="77" t="s">
        <v>462</v>
      </c>
      <c r="F150" s="121" t="s">
        <v>463</v>
      </c>
      <c r="G150" s="122">
        <v>0</v>
      </c>
    </row>
    <row r="151" spans="2:7" ht="13.7" customHeight="1">
      <c r="B151" s="5" t="s">
        <v>464</v>
      </c>
      <c r="C151" s="78" t="s">
        <v>465</v>
      </c>
      <c r="D151" s="124">
        <v>0</v>
      </c>
      <c r="E151" s="77" t="s">
        <v>466</v>
      </c>
      <c r="F151" s="121" t="s">
        <v>467</v>
      </c>
      <c r="G151" s="122">
        <v>5531071</v>
      </c>
    </row>
    <row r="152" spans="2:7" ht="13.7" customHeight="1" thickBot="1">
      <c r="B152" s="5"/>
      <c r="C152" s="85" t="s">
        <v>516</v>
      </c>
      <c r="D152" s="94">
        <f>SUM(D149:D151)</f>
        <v>0</v>
      </c>
      <c r="E152" s="77" t="s">
        <v>469</v>
      </c>
      <c r="F152" s="121" t="s">
        <v>470</v>
      </c>
      <c r="G152" s="122">
        <v>0</v>
      </c>
    </row>
    <row r="153" spans="2:7" ht="15" customHeight="1" thickBot="1">
      <c r="B153" s="5"/>
      <c r="C153" s="110" t="s">
        <v>471</v>
      </c>
      <c r="D153" s="129">
        <f>D122+D126+D138+D142+D143+D148+D152</f>
        <v>193379403</v>
      </c>
      <c r="E153" s="77" t="s">
        <v>472</v>
      </c>
      <c r="F153" s="78" t="s">
        <v>473</v>
      </c>
      <c r="G153" s="79">
        <v>304292</v>
      </c>
    </row>
    <row r="154" spans="2:7" ht="13.7" customHeight="1" thickBot="1">
      <c r="B154" s="5"/>
      <c r="C154" s="116"/>
      <c r="D154" s="116"/>
      <c r="E154" s="77"/>
      <c r="F154" s="85" t="s">
        <v>474</v>
      </c>
      <c r="G154" s="94">
        <f>SUM(G144:G153)</f>
        <v>14244464</v>
      </c>
    </row>
    <row r="155" spans="2:7" ht="13.5" customHeight="1" thickBot="1">
      <c r="B155" s="5"/>
      <c r="C155" s="72" t="s">
        <v>475</v>
      </c>
      <c r="D155" s="103">
        <f>G109-D153</f>
        <v>-18165220</v>
      </c>
      <c r="E155" s="77" t="s">
        <v>476</v>
      </c>
      <c r="F155" s="119" t="s">
        <v>477</v>
      </c>
      <c r="G155" s="120">
        <v>2316226</v>
      </c>
    </row>
    <row r="156" spans="2:7" ht="13.7" customHeight="1">
      <c r="C156" s="130"/>
      <c r="D156" s="130"/>
      <c r="E156" s="77" t="s">
        <v>478</v>
      </c>
      <c r="F156" s="121" t="s">
        <v>479</v>
      </c>
      <c r="G156" s="122">
        <v>5359438</v>
      </c>
    </row>
    <row r="157" spans="2:7" ht="13.7" customHeight="1">
      <c r="C157" s="130"/>
      <c r="D157" s="130"/>
      <c r="E157" s="77" t="s">
        <v>480</v>
      </c>
      <c r="F157" s="121" t="s">
        <v>481</v>
      </c>
      <c r="G157" s="122">
        <v>1314</v>
      </c>
    </row>
    <row r="158" spans="2:7" ht="13.7" customHeight="1">
      <c r="C158" s="130"/>
      <c r="D158" s="130"/>
      <c r="E158" s="77" t="s">
        <v>482</v>
      </c>
      <c r="F158" s="121" t="s">
        <v>483</v>
      </c>
      <c r="G158" s="122">
        <v>0</v>
      </c>
    </row>
    <row r="159" spans="2:7" ht="13.7" customHeight="1">
      <c r="C159" s="130"/>
      <c r="D159" s="130"/>
      <c r="E159" s="77" t="s">
        <v>484</v>
      </c>
      <c r="F159" s="121" t="s">
        <v>485</v>
      </c>
      <c r="G159" s="122">
        <v>0</v>
      </c>
    </row>
    <row r="160" spans="2:7" ht="13.7" customHeight="1">
      <c r="C160" s="130"/>
      <c r="D160" s="130"/>
      <c r="E160" s="77" t="s">
        <v>486</v>
      </c>
      <c r="F160" s="121" t="s">
        <v>487</v>
      </c>
      <c r="G160" s="122">
        <v>0</v>
      </c>
    </row>
    <row r="161" spans="3:7" ht="13.7" customHeight="1">
      <c r="C161" s="130"/>
      <c r="D161" s="130"/>
      <c r="E161" s="77" t="s">
        <v>488</v>
      </c>
      <c r="F161" s="121" t="s">
        <v>489</v>
      </c>
      <c r="G161" s="122">
        <v>0</v>
      </c>
    </row>
    <row r="162" spans="3:7" ht="13.7" customHeight="1">
      <c r="C162" s="130"/>
      <c r="D162" s="130"/>
      <c r="E162" s="77" t="s">
        <v>490</v>
      </c>
      <c r="F162" s="121" t="s">
        <v>491</v>
      </c>
      <c r="G162" s="122">
        <v>0</v>
      </c>
    </row>
    <row r="163" spans="3:7" ht="13.7" customHeight="1">
      <c r="C163" s="130"/>
      <c r="D163" s="130"/>
      <c r="E163" s="77" t="s">
        <v>492</v>
      </c>
      <c r="F163" s="121" t="s">
        <v>493</v>
      </c>
      <c r="G163" s="122">
        <v>0</v>
      </c>
    </row>
    <row r="164" spans="3:7" ht="13.7" customHeight="1">
      <c r="C164" s="130"/>
      <c r="D164" s="130"/>
      <c r="E164" s="77" t="s">
        <v>494</v>
      </c>
      <c r="F164" s="121" t="s">
        <v>495</v>
      </c>
      <c r="G164" s="122">
        <v>0</v>
      </c>
    </row>
    <row r="165" spans="3:7" ht="13.7" customHeight="1">
      <c r="C165" s="130"/>
      <c r="D165" s="130"/>
      <c r="E165" s="77" t="s">
        <v>496</v>
      </c>
      <c r="F165" s="121" t="s">
        <v>497</v>
      </c>
      <c r="G165" s="122">
        <v>0</v>
      </c>
    </row>
    <row r="166" spans="3:7" ht="13.7" customHeight="1">
      <c r="C166" s="130"/>
      <c r="D166" s="130"/>
      <c r="E166" s="77" t="s">
        <v>498</v>
      </c>
      <c r="F166" s="121" t="s">
        <v>499</v>
      </c>
      <c r="G166" s="122">
        <v>193742</v>
      </c>
    </row>
    <row r="167" spans="3:7" ht="13.7" customHeight="1">
      <c r="C167" s="130"/>
      <c r="D167" s="130"/>
      <c r="E167" s="77" t="s">
        <v>500</v>
      </c>
      <c r="F167" s="78" t="s">
        <v>501</v>
      </c>
      <c r="G167" s="79">
        <v>262078</v>
      </c>
    </row>
    <row r="168" spans="3:7" ht="13.7" customHeight="1" thickBot="1">
      <c r="C168" s="130"/>
      <c r="D168" s="130"/>
      <c r="E168" s="77"/>
      <c r="F168" s="85" t="s">
        <v>502</v>
      </c>
      <c r="G168" s="94">
        <f>SUM(G155:G167)</f>
        <v>8132798</v>
      </c>
    </row>
    <row r="169" spans="3:7" ht="13.7" customHeight="1" thickBot="1">
      <c r="C169" s="130"/>
      <c r="D169" s="130"/>
      <c r="E169" s="77"/>
      <c r="F169" s="110" t="s">
        <v>503</v>
      </c>
      <c r="G169" s="126">
        <f>G154-G168</f>
        <v>6111666</v>
      </c>
    </row>
    <row r="170" spans="3:7" ht="7.5" customHeight="1" thickBot="1">
      <c r="C170" s="130"/>
      <c r="D170" s="130"/>
      <c r="E170" s="77"/>
      <c r="F170" s="116"/>
      <c r="G170" s="116"/>
    </row>
    <row r="171" spans="3:7" ht="13.7" customHeight="1" thickBot="1">
      <c r="C171" s="130"/>
      <c r="D171" s="130"/>
      <c r="E171" s="77"/>
      <c r="F171" s="72" t="s">
        <v>504</v>
      </c>
      <c r="G171" s="131"/>
    </row>
    <row r="172" spans="3:7" ht="13.7" customHeight="1" thickBot="1">
      <c r="C172" s="130"/>
      <c r="D172" s="130"/>
      <c r="E172" s="77"/>
      <c r="F172" s="132"/>
      <c r="G172" s="133">
        <f>+D155+G140+G169</f>
        <v>-30347177</v>
      </c>
    </row>
    <row r="173" spans="3:7" ht="9" customHeight="1" thickBot="1">
      <c r="C173" s="130"/>
      <c r="D173" s="130"/>
      <c r="E173" s="77"/>
      <c r="F173" s="134"/>
      <c r="G173" s="135"/>
    </row>
    <row r="174" spans="3:7" ht="15" customHeight="1" thickBot="1">
      <c r="C174" s="130"/>
      <c r="D174" s="130"/>
      <c r="E174" s="77"/>
      <c r="F174" s="72" t="s">
        <v>505</v>
      </c>
      <c r="G174" s="118">
        <f>+G143</f>
        <v>2021</v>
      </c>
    </row>
    <row r="175" spans="3:7" ht="13.7" customHeight="1">
      <c r="C175" s="130"/>
      <c r="D175" s="130"/>
      <c r="E175" s="77"/>
      <c r="F175" s="119" t="s">
        <v>506</v>
      </c>
      <c r="G175" s="120">
        <v>0</v>
      </c>
    </row>
    <row r="176" spans="3:7" ht="13.7" customHeight="1">
      <c r="C176" s="130"/>
      <c r="D176" s="130"/>
      <c r="E176" s="77"/>
      <c r="F176" s="121" t="s">
        <v>507</v>
      </c>
      <c r="G176" s="122">
        <v>0</v>
      </c>
    </row>
    <row r="177" spans="1:8" ht="13.7" customHeight="1" thickBot="1">
      <c r="C177" s="130"/>
      <c r="D177" s="130"/>
      <c r="E177" s="77"/>
      <c r="F177" s="121" t="s">
        <v>508</v>
      </c>
      <c r="G177" s="122">
        <v>0</v>
      </c>
    </row>
    <row r="178" spans="1:8" ht="13.7" customHeight="1" thickBot="1">
      <c r="C178" s="130"/>
      <c r="D178" s="130"/>
      <c r="E178" s="77"/>
      <c r="F178" s="72" t="s">
        <v>509</v>
      </c>
      <c r="G178" s="103">
        <f>SUM(G175:G177)</f>
        <v>0</v>
      </c>
    </row>
    <row r="179" spans="1:8" ht="9.75" customHeight="1" thickBot="1">
      <c r="C179" s="130"/>
      <c r="D179" s="130"/>
      <c r="E179" s="77"/>
      <c r="F179" s="116"/>
      <c r="G179" s="116"/>
    </row>
    <row r="180" spans="1:8" ht="14.25" customHeight="1" thickBot="1">
      <c r="C180" s="130"/>
      <c r="D180" s="130"/>
      <c r="E180" s="77"/>
      <c r="F180" s="72" t="s">
        <v>519</v>
      </c>
      <c r="G180" s="131"/>
    </row>
    <row r="181" spans="1:8" ht="16.5" customHeight="1" thickBot="1">
      <c r="C181" s="130"/>
      <c r="D181" s="130"/>
      <c r="E181" s="77"/>
      <c r="F181" s="132"/>
      <c r="G181" s="133">
        <f>+G172+G178</f>
        <v>-30347177</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466" priority="2" stopIfTrue="1" operator="greaterThan">
      <formula>50</formula>
    </cfRule>
    <cfRule type="cellIs" dxfId="465" priority="11" stopIfTrue="1" operator="equal">
      <formula>0</formula>
    </cfRule>
  </conditionalFormatting>
  <conditionalFormatting sqref="D7:D61">
    <cfRule type="cellIs" dxfId="464" priority="9" stopIfTrue="1" operator="between">
      <formula>-0.1</formula>
      <formula>-50</formula>
    </cfRule>
    <cfRule type="cellIs" dxfId="463" priority="10" stopIfTrue="1" operator="between">
      <formula>0.1</formula>
      <formula>50</formula>
    </cfRule>
  </conditionalFormatting>
  <conditionalFormatting sqref="G152:G181 G7:G150">
    <cfRule type="cellIs" dxfId="462" priority="7" stopIfTrue="1" operator="between">
      <formula>-0.1</formula>
      <formula>-50</formula>
    </cfRule>
    <cfRule type="cellIs" dxfId="461" priority="8" stopIfTrue="1" operator="between">
      <formula>0.1</formula>
      <formula>50</formula>
    </cfRule>
  </conditionalFormatting>
  <conditionalFormatting sqref="D111:D155">
    <cfRule type="cellIs" dxfId="460" priority="5" stopIfTrue="1" operator="between">
      <formula>-0.1</formula>
      <formula>-50</formula>
    </cfRule>
    <cfRule type="cellIs" dxfId="459" priority="6" stopIfTrue="1" operator="between">
      <formula>0.1</formula>
      <formula>50</formula>
    </cfRule>
  </conditionalFormatting>
  <conditionalFormatting sqref="G165">
    <cfRule type="expression" dxfId="458" priority="4" stopIfTrue="1">
      <formula>AND($G$165&gt;0,$G$151&gt;0)</formula>
    </cfRule>
  </conditionalFormatting>
  <conditionalFormatting sqref="G151">
    <cfRule type="expression" dxfId="457"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topLeftCell="A52" zoomScaleNormal="100" zoomScaleSheetLayoutView="100" workbookViewId="0">
      <selection activeCell="A64" sqref="A64:XFD64"/>
    </sheetView>
  </sheetViews>
  <sheetFormatPr baseColWidth="10" defaultColWidth="0" defaultRowHeight="15.75" zeroHeight="1"/>
  <cols>
    <col min="1" max="1" width="3" style="1" customWidth="1"/>
    <col min="2" max="2" width="14.28515625" style="6" hidden="1" customWidth="1"/>
    <col min="3" max="3" width="56.42578125" style="19" customWidth="1"/>
    <col min="4" max="4" width="21" style="19" customWidth="1"/>
    <col min="5" max="5" width="3.85546875" style="13" customWidth="1"/>
    <col min="6" max="6" width="57.28515625" style="19" customWidth="1"/>
    <col min="7" max="7" width="21" style="19" customWidth="1"/>
    <col min="8" max="8" width="3" style="4" customWidth="1"/>
    <col min="9" max="16384" width="0" style="4" hidden="1"/>
  </cols>
  <sheetData>
    <row r="1" spans="1:9">
      <c r="B1" s="2"/>
      <c r="C1" s="255" t="s">
        <v>0</v>
      </c>
      <c r="D1" s="258"/>
      <c r="E1" s="253" t="str">
        <f>[8]Presentacion!C3</f>
        <v>COSEM - IAMPP</v>
      </c>
      <c r="F1" s="253"/>
      <c r="G1" s="136"/>
      <c r="H1" s="3"/>
    </row>
    <row r="2" spans="1:9">
      <c r="B2" s="5"/>
      <c r="C2" s="255" t="s">
        <v>1</v>
      </c>
      <c r="D2" s="258"/>
      <c r="E2" s="253" t="str">
        <f>[8]Presentacion!C4</f>
        <v>Montevideo</v>
      </c>
      <c r="F2" s="253"/>
      <c r="G2" s="136"/>
      <c r="H2" s="3"/>
    </row>
    <row r="3" spans="1:9">
      <c r="B3" s="5"/>
      <c r="C3" s="255" t="s">
        <v>2</v>
      </c>
      <c r="D3" s="255"/>
      <c r="E3" s="254" t="s">
        <v>3</v>
      </c>
      <c r="F3" s="254"/>
      <c r="G3" s="136"/>
      <c r="H3" s="3"/>
    </row>
    <row r="4" spans="1:9" ht="12.75" customHeight="1" thickBot="1">
      <c r="C4" s="65"/>
      <c r="D4" s="7"/>
      <c r="E4" s="8"/>
      <c r="F4" s="9"/>
      <c r="G4" s="10"/>
    </row>
    <row r="5" spans="1:9" ht="18" customHeight="1" thickBot="1">
      <c r="B5" s="11"/>
      <c r="C5" s="72" t="s">
        <v>4</v>
      </c>
      <c r="D5" s="73" t="s">
        <v>5</v>
      </c>
      <c r="E5" s="74"/>
      <c r="F5" s="72" t="s">
        <v>6</v>
      </c>
      <c r="G5" s="73" t="s">
        <v>5</v>
      </c>
      <c r="I5" s="12"/>
    </row>
    <row r="6" spans="1:9" ht="12.75" customHeight="1" thickBot="1">
      <c r="B6" s="11"/>
      <c r="C6" s="75" t="s">
        <v>7</v>
      </c>
      <c r="D6" s="76">
        <f>+[8]E.S.P.!D6</f>
        <v>2021</v>
      </c>
      <c r="E6" s="77"/>
      <c r="F6" s="75" t="s">
        <v>8</v>
      </c>
      <c r="G6" s="76">
        <f>+D6</f>
        <v>2021</v>
      </c>
      <c r="H6" s="12"/>
    </row>
    <row r="7" spans="1:9">
      <c r="B7" s="5" t="s">
        <v>9</v>
      </c>
      <c r="C7" s="78" t="s">
        <v>10</v>
      </c>
      <c r="D7" s="79">
        <v>201495985</v>
      </c>
      <c r="E7" s="77" t="s">
        <v>11</v>
      </c>
      <c r="F7" s="80" t="s">
        <v>12</v>
      </c>
      <c r="G7" s="81">
        <v>7058505</v>
      </c>
    </row>
    <row r="8" spans="1:9">
      <c r="B8" s="5" t="s">
        <v>13</v>
      </c>
      <c r="C8" s="78" t="s">
        <v>14</v>
      </c>
      <c r="D8" s="79">
        <v>24876055</v>
      </c>
      <c r="E8" s="77" t="s">
        <v>15</v>
      </c>
      <c r="F8" s="78" t="s">
        <v>16</v>
      </c>
      <c r="G8" s="82">
        <f>29714+7951373</f>
        <v>7981087</v>
      </c>
    </row>
    <row r="9" spans="1:9">
      <c r="B9" s="5" t="s">
        <v>17</v>
      </c>
      <c r="C9" s="78" t="s">
        <v>18</v>
      </c>
      <c r="D9" s="79">
        <v>2741076772</v>
      </c>
      <c r="E9" s="77" t="s">
        <v>19</v>
      </c>
      <c r="F9" s="78" t="s">
        <v>20</v>
      </c>
      <c r="G9" s="79">
        <f>49189202+4276915+4218110+3017437</f>
        <v>60701664</v>
      </c>
    </row>
    <row r="10" spans="1:9">
      <c r="B10" s="5" t="s">
        <v>21</v>
      </c>
      <c r="C10" s="78" t="s">
        <v>22</v>
      </c>
      <c r="D10" s="79">
        <v>263754198</v>
      </c>
      <c r="E10" s="77" t="s">
        <v>23</v>
      </c>
      <c r="F10" s="78" t="s">
        <v>24</v>
      </c>
      <c r="G10" s="79">
        <f>44245417+3849445+2715850-7951373</f>
        <v>42859339</v>
      </c>
    </row>
    <row r="11" spans="1:9">
      <c r="B11" s="5" t="s">
        <v>25</v>
      </c>
      <c r="C11" s="78" t="s">
        <v>26</v>
      </c>
      <c r="D11" s="79">
        <v>34709125</v>
      </c>
      <c r="E11" s="77" t="s">
        <v>27</v>
      </c>
      <c r="F11" s="78" t="s">
        <v>28</v>
      </c>
      <c r="G11" s="79">
        <f>310921+377324011+34416444+30112419+20352567+7402655</f>
        <v>469919017</v>
      </c>
    </row>
    <row r="12" spans="1:9">
      <c r="B12" s="5" t="s">
        <v>29</v>
      </c>
      <c r="C12" s="78" t="s">
        <v>30</v>
      </c>
      <c r="D12" s="79">
        <v>141553198</v>
      </c>
      <c r="E12" s="77" t="s">
        <v>31</v>
      </c>
      <c r="F12" s="78" t="s">
        <v>32</v>
      </c>
      <c r="G12" s="79">
        <v>0</v>
      </c>
    </row>
    <row r="13" spans="1:9">
      <c r="B13" s="5" t="s">
        <v>33</v>
      </c>
      <c r="C13" s="78" t="s">
        <v>34</v>
      </c>
      <c r="D13" s="79">
        <v>0</v>
      </c>
      <c r="E13" s="77" t="s">
        <v>35</v>
      </c>
      <c r="F13" s="78" t="s">
        <v>36</v>
      </c>
      <c r="G13" s="79">
        <f>15746480+1362288+1200222+961117</f>
        <v>19270107</v>
      </c>
    </row>
    <row r="14" spans="1:9">
      <c r="A14" s="14"/>
      <c r="B14" s="5" t="s">
        <v>37</v>
      </c>
      <c r="C14" s="78" t="s">
        <v>38</v>
      </c>
      <c r="D14" s="79">
        <v>0</v>
      </c>
      <c r="E14" s="77" t="s">
        <v>39</v>
      </c>
      <c r="F14" s="78" t="s">
        <v>40</v>
      </c>
      <c r="G14" s="79">
        <f>78115620+6529027+173647+4754101</f>
        <v>89572395</v>
      </c>
    </row>
    <row r="15" spans="1:9">
      <c r="B15" s="5" t="s">
        <v>41</v>
      </c>
      <c r="C15" s="83" t="s">
        <v>42</v>
      </c>
      <c r="D15" s="79">
        <v>0</v>
      </c>
      <c r="E15" s="77" t="s">
        <v>43</v>
      </c>
      <c r="F15" s="78" t="s">
        <v>44</v>
      </c>
      <c r="G15" s="79">
        <f>50909110+3896396+179655+31009+87028+3120463+171343562</f>
        <v>229567223</v>
      </c>
    </row>
    <row r="16" spans="1:9">
      <c r="B16" s="5" t="s">
        <v>45</v>
      </c>
      <c r="C16" s="78" t="s">
        <v>46</v>
      </c>
      <c r="D16" s="79">
        <v>0</v>
      </c>
      <c r="E16" s="77" t="s">
        <v>47</v>
      </c>
      <c r="F16" s="78" t="s">
        <v>48</v>
      </c>
      <c r="G16" s="79">
        <f>19886+29246304+2247099+1265190+43963+1789041+21077602</f>
        <v>55689085</v>
      </c>
    </row>
    <row r="17" spans="1:7">
      <c r="B17" s="5" t="s">
        <v>49</v>
      </c>
      <c r="C17" s="78" t="s">
        <v>50</v>
      </c>
      <c r="D17" s="79">
        <v>151</v>
      </c>
      <c r="E17" s="77" t="s">
        <v>51</v>
      </c>
      <c r="F17" s="78" t="s">
        <v>52</v>
      </c>
      <c r="G17" s="79">
        <v>0</v>
      </c>
    </row>
    <row r="18" spans="1:7">
      <c r="A18" s="14"/>
      <c r="B18" s="5" t="s">
        <v>53</v>
      </c>
      <c r="C18" s="78" t="s">
        <v>54</v>
      </c>
      <c r="D18" s="79">
        <v>126708985</v>
      </c>
      <c r="E18" s="77" t="s">
        <v>55</v>
      </c>
      <c r="F18" s="78" t="s">
        <v>56</v>
      </c>
      <c r="G18" s="84">
        <f>26346141+243283+6632119</f>
        <v>33221543</v>
      </c>
    </row>
    <row r="19" spans="1:7" ht="16.5" thickBot="1">
      <c r="A19" s="14"/>
      <c r="B19" s="5" t="s">
        <v>57</v>
      </c>
      <c r="C19" s="78" t="s">
        <v>58</v>
      </c>
      <c r="D19" s="79">
        <v>121593820</v>
      </c>
      <c r="E19" s="77"/>
      <c r="F19" s="85" t="s">
        <v>59</v>
      </c>
      <c r="G19" s="86">
        <f>SUM(G7:G18)</f>
        <v>1015839965</v>
      </c>
    </row>
    <row r="20" spans="1:7" ht="16.5" thickBot="1">
      <c r="B20" s="5"/>
      <c r="C20" s="85" t="s">
        <v>60</v>
      </c>
      <c r="D20" s="86">
        <f>SUM(D7:D19)</f>
        <v>3655768289</v>
      </c>
      <c r="E20" s="77" t="s">
        <v>61</v>
      </c>
      <c r="F20" s="80" t="s">
        <v>62</v>
      </c>
      <c r="G20" s="81">
        <v>307716</v>
      </c>
    </row>
    <row r="21" spans="1:7">
      <c r="B21" s="5"/>
      <c r="C21" s="87" t="s">
        <v>63</v>
      </c>
      <c r="D21" s="88">
        <f>SUM(D22:D28)</f>
        <v>75693546</v>
      </c>
      <c r="E21" s="77" t="s">
        <v>64</v>
      </c>
      <c r="F21" s="78" t="s">
        <v>65</v>
      </c>
      <c r="G21" s="79">
        <f>2218744+27671389-970771</f>
        <v>28919362</v>
      </c>
    </row>
    <row r="22" spans="1:7">
      <c r="B22" s="5" t="s">
        <v>66</v>
      </c>
      <c r="C22" s="78" t="s">
        <v>67</v>
      </c>
      <c r="D22" s="79">
        <v>61181429</v>
      </c>
      <c r="E22" s="77" t="s">
        <v>68</v>
      </c>
      <c r="F22" s="78" t="s">
        <v>69</v>
      </c>
      <c r="G22" s="79">
        <v>970771</v>
      </c>
    </row>
    <row r="23" spans="1:7">
      <c r="B23" s="5" t="s">
        <v>70</v>
      </c>
      <c r="C23" s="78" t="s">
        <v>71</v>
      </c>
      <c r="D23" s="79">
        <v>1958807</v>
      </c>
      <c r="E23" s="77" t="s">
        <v>72</v>
      </c>
      <c r="F23" s="78" t="s">
        <v>73</v>
      </c>
      <c r="G23" s="79">
        <f>7628845+8088424</f>
        <v>15717269</v>
      </c>
    </row>
    <row r="24" spans="1:7">
      <c r="B24" s="5" t="s">
        <v>74</v>
      </c>
      <c r="C24" s="78" t="s">
        <v>75</v>
      </c>
      <c r="D24" s="79">
        <v>827481</v>
      </c>
      <c r="E24" s="77" t="s">
        <v>76</v>
      </c>
      <c r="F24" s="78" t="s">
        <v>77</v>
      </c>
      <c r="G24" s="79">
        <v>0</v>
      </c>
    </row>
    <row r="25" spans="1:7">
      <c r="B25" s="5" t="s">
        <v>78</v>
      </c>
      <c r="C25" s="78" t="s">
        <v>79</v>
      </c>
      <c r="D25" s="79">
        <v>0</v>
      </c>
      <c r="E25" s="77" t="s">
        <v>80</v>
      </c>
      <c r="F25" s="78" t="s">
        <v>81</v>
      </c>
      <c r="G25" s="79">
        <f>6091274-650401</f>
        <v>5440873</v>
      </c>
    </row>
    <row r="26" spans="1:7">
      <c r="B26" s="5" t="s">
        <v>82</v>
      </c>
      <c r="C26" s="78" t="s">
        <v>83</v>
      </c>
      <c r="D26" s="79">
        <v>0</v>
      </c>
      <c r="E26" s="77" t="s">
        <v>84</v>
      </c>
      <c r="F26" s="78" t="s">
        <v>85</v>
      </c>
      <c r="G26" s="84">
        <f>1486797+10606+278781</f>
        <v>1776184</v>
      </c>
    </row>
    <row r="27" spans="1:7" ht="13.5" customHeight="1" thickBot="1">
      <c r="B27" s="5" t="s">
        <v>86</v>
      </c>
      <c r="C27" s="78" t="s">
        <v>87</v>
      </c>
      <c r="D27" s="79">
        <v>9400677</v>
      </c>
      <c r="E27" s="77"/>
      <c r="F27" s="85" t="s">
        <v>88</v>
      </c>
      <c r="G27" s="86">
        <f>SUM(G20:G26)</f>
        <v>53132175</v>
      </c>
    </row>
    <row r="28" spans="1:7">
      <c r="B28" s="5" t="s">
        <v>89</v>
      </c>
      <c r="C28" s="78" t="s">
        <v>90</v>
      </c>
      <c r="D28" s="79">
        <v>2325152</v>
      </c>
      <c r="E28" s="77" t="s">
        <v>91</v>
      </c>
      <c r="F28" s="80" t="s">
        <v>92</v>
      </c>
      <c r="G28" s="81">
        <v>71409427</v>
      </c>
    </row>
    <row r="29" spans="1:7">
      <c r="B29" s="5"/>
      <c r="C29" s="89" t="s">
        <v>93</v>
      </c>
      <c r="D29" s="88">
        <f>SUM(D30:D34)</f>
        <v>386392223</v>
      </c>
      <c r="E29" s="77" t="s">
        <v>94</v>
      </c>
      <c r="F29" s="78" t="s">
        <v>95</v>
      </c>
      <c r="G29" s="79">
        <v>261052057</v>
      </c>
    </row>
    <row r="30" spans="1:7">
      <c r="B30" s="5" t="s">
        <v>96</v>
      </c>
      <c r="C30" s="78" t="s">
        <v>97</v>
      </c>
      <c r="D30" s="79">
        <v>220432701</v>
      </c>
      <c r="E30" s="77" t="s">
        <v>98</v>
      </c>
      <c r="F30" s="78" t="s">
        <v>99</v>
      </c>
      <c r="G30" s="79">
        <v>4362476</v>
      </c>
    </row>
    <row r="31" spans="1:7">
      <c r="B31" s="5" t="s">
        <v>100</v>
      </c>
      <c r="C31" s="78" t="s">
        <v>101</v>
      </c>
      <c r="D31" s="79">
        <v>65715553</v>
      </c>
      <c r="E31" s="77" t="s">
        <v>102</v>
      </c>
      <c r="F31" s="78" t="s">
        <v>103</v>
      </c>
      <c r="G31" s="84">
        <v>11379252</v>
      </c>
    </row>
    <row r="32" spans="1:7" ht="16.5" thickBot="1">
      <c r="B32" s="5" t="s">
        <v>104</v>
      </c>
      <c r="C32" s="78" t="s">
        <v>105</v>
      </c>
      <c r="D32" s="79">
        <v>50758624</v>
      </c>
      <c r="E32" s="77"/>
      <c r="F32" s="85" t="s">
        <v>106</v>
      </c>
      <c r="G32" s="86">
        <f>SUM(G28:G31)</f>
        <v>348203212</v>
      </c>
    </row>
    <row r="33" spans="2:7">
      <c r="B33" s="5" t="s">
        <v>107</v>
      </c>
      <c r="C33" s="78" t="s">
        <v>108</v>
      </c>
      <c r="D33" s="79">
        <v>37091493</v>
      </c>
      <c r="E33" s="77"/>
      <c r="F33" s="89" t="s">
        <v>109</v>
      </c>
      <c r="G33" s="88">
        <f>SUM(G34:G39)</f>
        <v>217819088</v>
      </c>
    </row>
    <row r="34" spans="2:7">
      <c r="B34" s="5" t="s">
        <v>110</v>
      </c>
      <c r="C34" s="78" t="s">
        <v>111</v>
      </c>
      <c r="D34" s="79">
        <v>12393852</v>
      </c>
      <c r="E34" s="77" t="s">
        <v>112</v>
      </c>
      <c r="F34" s="78" t="s">
        <v>113</v>
      </c>
      <c r="G34" s="79">
        <v>0</v>
      </c>
    </row>
    <row r="35" spans="2:7" ht="16.5" thickBot="1">
      <c r="B35" s="5"/>
      <c r="C35" s="85" t="s">
        <v>114</v>
      </c>
      <c r="D35" s="86">
        <f>+D21+D29</f>
        <v>462085769</v>
      </c>
      <c r="E35" s="77" t="s">
        <v>115</v>
      </c>
      <c r="F35" s="78" t="s">
        <v>116</v>
      </c>
      <c r="G35" s="79">
        <v>0</v>
      </c>
    </row>
    <row r="36" spans="2:7">
      <c r="B36" s="5" t="s">
        <v>117</v>
      </c>
      <c r="C36" s="78" t="s">
        <v>118</v>
      </c>
      <c r="D36" s="79">
        <v>0</v>
      </c>
      <c r="E36" s="77" t="s">
        <v>119</v>
      </c>
      <c r="F36" s="78" t="s">
        <v>517</v>
      </c>
      <c r="G36" s="79">
        <v>0</v>
      </c>
    </row>
    <row r="37" spans="2:7">
      <c r="B37" s="5" t="s">
        <v>120</v>
      </c>
      <c r="C37" s="78" t="s">
        <v>121</v>
      </c>
      <c r="D37" s="79">
        <v>0</v>
      </c>
      <c r="E37" s="77" t="s">
        <v>122</v>
      </c>
      <c r="F37" s="78" t="s">
        <v>123</v>
      </c>
      <c r="G37" s="79">
        <v>0</v>
      </c>
    </row>
    <row r="38" spans="2:7">
      <c r="B38" s="5" t="s">
        <v>124</v>
      </c>
      <c r="C38" s="78" t="s">
        <v>125</v>
      </c>
      <c r="D38" s="79">
        <v>0</v>
      </c>
      <c r="E38" s="77" t="s">
        <v>126</v>
      </c>
      <c r="F38" s="78" t="s">
        <v>127</v>
      </c>
      <c r="G38" s="79">
        <v>0</v>
      </c>
    </row>
    <row r="39" spans="2:7">
      <c r="B39" s="5" t="s">
        <v>128</v>
      </c>
      <c r="C39" s="78" t="s">
        <v>129</v>
      </c>
      <c r="D39" s="79">
        <v>0</v>
      </c>
      <c r="E39" s="77" t="s">
        <v>130</v>
      </c>
      <c r="F39" s="78" t="s">
        <v>131</v>
      </c>
      <c r="G39" s="79">
        <v>217819088</v>
      </c>
    </row>
    <row r="40" spans="2:7">
      <c r="B40" s="5" t="s">
        <v>132</v>
      </c>
      <c r="C40" s="78" t="s">
        <v>133</v>
      </c>
      <c r="D40" s="79">
        <v>0</v>
      </c>
      <c r="E40" s="77"/>
      <c r="F40" s="90" t="s">
        <v>134</v>
      </c>
      <c r="G40" s="91">
        <f>SUM(G41:G46)</f>
        <v>0</v>
      </c>
    </row>
    <row r="41" spans="2:7">
      <c r="B41" s="5" t="s">
        <v>135</v>
      </c>
      <c r="C41" s="78" t="s">
        <v>136</v>
      </c>
      <c r="D41" s="79">
        <v>0</v>
      </c>
      <c r="E41" s="77" t="s">
        <v>137</v>
      </c>
      <c r="F41" s="78" t="s">
        <v>138</v>
      </c>
      <c r="G41" s="79">
        <v>0</v>
      </c>
    </row>
    <row r="42" spans="2:7">
      <c r="B42" s="5" t="s">
        <v>139</v>
      </c>
      <c r="C42" s="78" t="s">
        <v>140</v>
      </c>
      <c r="D42" s="79">
        <v>42135223</v>
      </c>
      <c r="E42" s="77" t="s">
        <v>141</v>
      </c>
      <c r="F42" s="78" t="s">
        <v>142</v>
      </c>
      <c r="G42" s="79">
        <v>0</v>
      </c>
    </row>
    <row r="43" spans="2:7">
      <c r="B43" s="5" t="s">
        <v>143</v>
      </c>
      <c r="C43" s="78" t="s">
        <v>144</v>
      </c>
      <c r="D43" s="79">
        <v>0</v>
      </c>
      <c r="E43" s="77" t="s">
        <v>145</v>
      </c>
      <c r="F43" s="78" t="s">
        <v>146</v>
      </c>
      <c r="G43" s="79">
        <v>0</v>
      </c>
    </row>
    <row r="44" spans="2:7">
      <c r="B44" s="5" t="s">
        <v>147</v>
      </c>
      <c r="C44" s="78" t="s">
        <v>148</v>
      </c>
      <c r="D44" s="79">
        <v>0</v>
      </c>
      <c r="E44" s="77" t="s">
        <v>149</v>
      </c>
      <c r="F44" s="78" t="s">
        <v>150</v>
      </c>
      <c r="G44" s="79">
        <v>0</v>
      </c>
    </row>
    <row r="45" spans="2:7">
      <c r="B45" s="5" t="s">
        <v>151</v>
      </c>
      <c r="C45" s="78" t="s">
        <v>152</v>
      </c>
      <c r="D45" s="79">
        <v>0</v>
      </c>
      <c r="E45" s="77" t="s">
        <v>153</v>
      </c>
      <c r="F45" s="78" t="s">
        <v>154</v>
      </c>
      <c r="G45" s="79">
        <v>0</v>
      </c>
    </row>
    <row r="46" spans="2:7">
      <c r="B46" s="5" t="s">
        <v>155</v>
      </c>
      <c r="C46" s="78" t="s">
        <v>156</v>
      </c>
      <c r="D46" s="79">
        <v>1145574</v>
      </c>
      <c r="E46" s="77" t="s">
        <v>157</v>
      </c>
      <c r="F46" s="78" t="s">
        <v>158</v>
      </c>
      <c r="G46" s="79">
        <v>0</v>
      </c>
    </row>
    <row r="47" spans="2:7" ht="16.5" thickBot="1">
      <c r="B47" s="5"/>
      <c r="C47" s="85" t="s">
        <v>159</v>
      </c>
      <c r="D47" s="86">
        <f>SUM(D36:D46)</f>
        <v>43280797</v>
      </c>
      <c r="E47" s="77" t="s">
        <v>160</v>
      </c>
      <c r="F47" s="78" t="s">
        <v>161</v>
      </c>
      <c r="G47" s="84">
        <v>7284514</v>
      </c>
    </row>
    <row r="48" spans="2:7" ht="16.5" thickBot="1">
      <c r="B48" s="5"/>
      <c r="C48" s="92" t="s">
        <v>162</v>
      </c>
      <c r="D48" s="93"/>
      <c r="E48" s="77"/>
      <c r="F48" s="85" t="s">
        <v>163</v>
      </c>
      <c r="G48" s="94">
        <f>+G33+G40+G47</f>
        <v>225103602</v>
      </c>
    </row>
    <row r="49" spans="2:7">
      <c r="B49" s="5" t="s">
        <v>164</v>
      </c>
      <c r="C49" s="95" t="s">
        <v>165</v>
      </c>
      <c r="D49" s="96">
        <v>0</v>
      </c>
      <c r="E49" s="77" t="s">
        <v>166</v>
      </c>
      <c r="F49" s="80" t="s">
        <v>167</v>
      </c>
      <c r="G49" s="81">
        <v>0</v>
      </c>
    </row>
    <row r="50" spans="2:7">
      <c r="B50" s="5" t="s">
        <v>168</v>
      </c>
      <c r="C50" s="78" t="s">
        <v>162</v>
      </c>
      <c r="D50" s="79">
        <f>1464637+178845164</f>
        <v>180309801</v>
      </c>
      <c r="E50" s="77" t="s">
        <v>169</v>
      </c>
      <c r="F50" s="78" t="s">
        <v>170</v>
      </c>
      <c r="G50" s="79">
        <v>41230807</v>
      </c>
    </row>
    <row r="51" spans="2:7">
      <c r="B51" s="5" t="s">
        <v>171</v>
      </c>
      <c r="C51" s="78" t="s">
        <v>172</v>
      </c>
      <c r="D51" s="84">
        <f>55241+6326412</f>
        <v>6381653</v>
      </c>
      <c r="E51" s="77" t="s">
        <v>173</v>
      </c>
      <c r="F51" s="78" t="s">
        <v>174</v>
      </c>
      <c r="G51" s="79">
        <v>0</v>
      </c>
    </row>
    <row r="52" spans="2:7" ht="16.5" thickBot="1">
      <c r="B52" s="11"/>
      <c r="C52" s="85" t="s">
        <v>175</v>
      </c>
      <c r="D52" s="86">
        <f>SUM(D49:D51)</f>
        <v>186691454</v>
      </c>
      <c r="E52" s="77" t="s">
        <v>176</v>
      </c>
      <c r="F52" s="78" t="s">
        <v>177</v>
      </c>
      <c r="G52" s="79">
        <v>0</v>
      </c>
    </row>
    <row r="53" spans="2:7" ht="16.5" thickBot="1">
      <c r="B53" s="5"/>
      <c r="C53" s="75" t="s">
        <v>178</v>
      </c>
      <c r="D53" s="97">
        <f>D20+D35+D47+D52</f>
        <v>4347826309</v>
      </c>
      <c r="E53" s="77" t="s">
        <v>179</v>
      </c>
      <c r="F53" s="78" t="s">
        <v>180</v>
      </c>
      <c r="G53" s="79">
        <v>0</v>
      </c>
    </row>
    <row r="54" spans="2:7">
      <c r="C54" s="98"/>
      <c r="D54" s="99"/>
      <c r="E54" s="77" t="s">
        <v>181</v>
      </c>
      <c r="F54" s="78" t="s">
        <v>182</v>
      </c>
      <c r="G54" s="79">
        <v>1524794</v>
      </c>
    </row>
    <row r="55" spans="2:7">
      <c r="C55" s="100" t="s">
        <v>183</v>
      </c>
      <c r="D55" s="101"/>
      <c r="E55" s="77" t="s">
        <v>184</v>
      </c>
      <c r="F55" s="78" t="s">
        <v>185</v>
      </c>
      <c r="G55" s="79">
        <v>0</v>
      </c>
    </row>
    <row r="56" spans="2:7">
      <c r="B56" s="5" t="s">
        <v>186</v>
      </c>
      <c r="C56" s="102" t="s">
        <v>187</v>
      </c>
      <c r="D56" s="79"/>
      <c r="E56" s="77" t="s">
        <v>188</v>
      </c>
      <c r="F56" s="78" t="s">
        <v>189</v>
      </c>
      <c r="G56" s="84">
        <v>2661715</v>
      </c>
    </row>
    <row r="57" spans="2:7" ht="14.25" customHeight="1" thickBot="1">
      <c r="B57" s="5" t="s">
        <v>190</v>
      </c>
      <c r="C57" s="102" t="s">
        <v>191</v>
      </c>
      <c r="D57" s="79">
        <v>0</v>
      </c>
      <c r="E57" s="77"/>
      <c r="F57" s="85" t="s">
        <v>192</v>
      </c>
      <c r="G57" s="86">
        <f>SUM(G49:G56)</f>
        <v>45417316</v>
      </c>
    </row>
    <row r="58" spans="2:7">
      <c r="B58" s="5" t="s">
        <v>193</v>
      </c>
      <c r="C58" s="102" t="s">
        <v>194</v>
      </c>
      <c r="D58" s="79"/>
      <c r="E58" s="77" t="s">
        <v>195</v>
      </c>
      <c r="F58" s="80" t="s">
        <v>196</v>
      </c>
      <c r="G58" s="81">
        <v>531447386</v>
      </c>
    </row>
    <row r="59" spans="2:7">
      <c r="B59" s="5" t="s">
        <v>197</v>
      </c>
      <c r="C59" s="78" t="s">
        <v>198</v>
      </c>
      <c r="D59" s="84">
        <v>0</v>
      </c>
      <c r="E59" s="77" t="s">
        <v>199</v>
      </c>
      <c r="F59" s="78" t="s">
        <v>200</v>
      </c>
      <c r="G59" s="79">
        <f>90791186+128811762+74445941+198287187+20108454+60384345+44443116+181069544</f>
        <v>798341535</v>
      </c>
    </row>
    <row r="60" spans="2:7" ht="16.5" thickBot="1">
      <c r="B60" s="5"/>
      <c r="C60" s="85" t="s">
        <v>201</v>
      </c>
      <c r="D60" s="86">
        <f>SUM(D56:D59)</f>
        <v>0</v>
      </c>
      <c r="E60" s="77" t="s">
        <v>202</v>
      </c>
      <c r="F60" s="78" t="s">
        <v>203</v>
      </c>
      <c r="G60" s="79">
        <f>26903565+23604250+107119395+68451627</f>
        <v>226078837</v>
      </c>
    </row>
    <row r="61" spans="2:7" ht="16.5" thickBot="1">
      <c r="B61" s="15"/>
      <c r="C61" s="72" t="s">
        <v>204</v>
      </c>
      <c r="D61" s="103">
        <f>D53+D60</f>
        <v>4347826309</v>
      </c>
      <c r="E61" s="77" t="s">
        <v>205</v>
      </c>
      <c r="F61" s="78" t="s">
        <v>206</v>
      </c>
      <c r="G61" s="79">
        <f>6775775+2104125+35071549+6171539</f>
        <v>50122988</v>
      </c>
    </row>
    <row r="62" spans="2:7">
      <c r="B62" s="16"/>
      <c r="C62" s="104"/>
      <c r="D62" s="104"/>
      <c r="E62" s="77" t="s">
        <v>207</v>
      </c>
      <c r="F62" s="78" t="s">
        <v>208</v>
      </c>
      <c r="G62" s="79">
        <v>0</v>
      </c>
    </row>
    <row r="63" spans="2:7">
      <c r="B63" s="17"/>
      <c r="C63" s="105" t="s">
        <v>8</v>
      </c>
      <c r="D63" s="105"/>
      <c r="E63" s="77" t="s">
        <v>209</v>
      </c>
      <c r="F63" s="78" t="s">
        <v>210</v>
      </c>
      <c r="G63" s="79">
        <v>216901418</v>
      </c>
    </row>
    <row r="64" spans="2:7">
      <c r="B64" s="18" t="s">
        <v>211</v>
      </c>
      <c r="C64" s="106" t="s">
        <v>212</v>
      </c>
      <c r="D64" s="106">
        <f>[8]Amortizaciones!D6</f>
        <v>23616726</v>
      </c>
      <c r="E64" s="77" t="s">
        <v>213</v>
      </c>
      <c r="F64" s="78" t="s">
        <v>214</v>
      </c>
      <c r="G64" s="79">
        <v>42185538</v>
      </c>
    </row>
    <row r="65" spans="2:7">
      <c r="B65" s="18" t="s">
        <v>215</v>
      </c>
      <c r="C65" s="106" t="s">
        <v>216</v>
      </c>
      <c r="D65" s="106">
        <f>[8]Amortizaciones!D7</f>
        <v>0</v>
      </c>
      <c r="E65" s="77" t="s">
        <v>217</v>
      </c>
      <c r="F65" s="78" t="s">
        <v>218</v>
      </c>
      <c r="G65" s="79">
        <v>20011078</v>
      </c>
    </row>
    <row r="66" spans="2:7">
      <c r="B66" s="18" t="s">
        <v>219</v>
      </c>
      <c r="C66" s="106" t="s">
        <v>220</v>
      </c>
      <c r="D66" s="106">
        <f>[8]Amortizaciones!D8</f>
        <v>4146906</v>
      </c>
      <c r="E66" s="77" t="s">
        <v>221</v>
      </c>
      <c r="F66" s="78" t="s">
        <v>222</v>
      </c>
      <c r="G66" s="79">
        <v>54042726</v>
      </c>
    </row>
    <row r="67" spans="2:7">
      <c r="B67" s="18" t="s">
        <v>223</v>
      </c>
      <c r="C67" s="106" t="s">
        <v>224</v>
      </c>
      <c r="D67" s="106">
        <f>[8]Amortizaciones!D9</f>
        <v>0</v>
      </c>
      <c r="E67" s="77" t="s">
        <v>225</v>
      </c>
      <c r="F67" s="78" t="s">
        <v>226</v>
      </c>
      <c r="G67" s="79">
        <v>16748032</v>
      </c>
    </row>
    <row r="68" spans="2:7">
      <c r="B68" s="18" t="s">
        <v>227</v>
      </c>
      <c r="C68" s="106" t="s">
        <v>228</v>
      </c>
      <c r="D68" s="106">
        <f>[8]Amortizaciones!D10</f>
        <v>0</v>
      </c>
      <c r="E68" s="77" t="s">
        <v>229</v>
      </c>
      <c r="F68" s="78" t="s">
        <v>230</v>
      </c>
      <c r="G68" s="79">
        <v>0</v>
      </c>
    </row>
    <row r="69" spans="2:7">
      <c r="B69" s="18" t="s">
        <v>231</v>
      </c>
      <c r="C69" s="106" t="s">
        <v>232</v>
      </c>
      <c r="D69" s="106">
        <f>[8]Amortizaciones!D11</f>
        <v>0</v>
      </c>
      <c r="E69" s="77" t="s">
        <v>233</v>
      </c>
      <c r="F69" s="78" t="s">
        <v>234</v>
      </c>
      <c r="G69" s="79">
        <v>20457875</v>
      </c>
    </row>
    <row r="70" spans="2:7">
      <c r="B70" s="18" t="s">
        <v>235</v>
      </c>
      <c r="C70" s="106" t="s">
        <v>236</v>
      </c>
      <c r="D70" s="106">
        <f>[8]Amortizaciones!D12</f>
        <v>12911500</v>
      </c>
      <c r="E70" s="77" t="s">
        <v>237</v>
      </c>
      <c r="F70" s="78" t="s">
        <v>238</v>
      </c>
      <c r="G70" s="79">
        <v>25859653</v>
      </c>
    </row>
    <row r="71" spans="2:7">
      <c r="B71" s="18" t="s">
        <v>239</v>
      </c>
      <c r="C71" s="106" t="s">
        <v>240</v>
      </c>
      <c r="D71" s="106">
        <f>[8]Amortizaciones!D13</f>
        <v>0</v>
      </c>
      <c r="E71" s="77" t="s">
        <v>241</v>
      </c>
      <c r="F71" s="78" t="s">
        <v>242</v>
      </c>
      <c r="G71" s="79">
        <v>0</v>
      </c>
    </row>
    <row r="72" spans="2:7">
      <c r="B72" s="18" t="s">
        <v>243</v>
      </c>
      <c r="C72" s="106" t="s">
        <v>244</v>
      </c>
      <c r="D72" s="106">
        <f>[8]Amortizaciones!D14</f>
        <v>0</v>
      </c>
      <c r="E72" s="77" t="s">
        <v>245</v>
      </c>
      <c r="F72" s="78" t="s">
        <v>246</v>
      </c>
      <c r="G72" s="79">
        <v>0</v>
      </c>
    </row>
    <row r="73" spans="2:7">
      <c r="B73" s="18" t="s">
        <v>247</v>
      </c>
      <c r="C73" s="106" t="s">
        <v>248</v>
      </c>
      <c r="D73" s="106">
        <f>[8]Amortizaciones!D15</f>
        <v>0</v>
      </c>
      <c r="E73" s="77" t="s">
        <v>249</v>
      </c>
      <c r="F73" s="78" t="s">
        <v>250</v>
      </c>
      <c r="G73" s="79">
        <v>55628736</v>
      </c>
    </row>
    <row r="74" spans="2:7">
      <c r="B74" s="18" t="s">
        <v>251</v>
      </c>
      <c r="C74" s="106" t="s">
        <v>252</v>
      </c>
      <c r="D74" s="106">
        <f>[8]Amortizaciones!D16</f>
        <v>0</v>
      </c>
      <c r="E74" s="77" t="s">
        <v>253</v>
      </c>
      <c r="F74" s="78" t="s">
        <v>254</v>
      </c>
      <c r="G74" s="79">
        <v>6282031</v>
      </c>
    </row>
    <row r="75" spans="2:7">
      <c r="B75" s="18" t="s">
        <v>255</v>
      </c>
      <c r="C75" s="106" t="s">
        <v>256</v>
      </c>
      <c r="D75" s="106">
        <f>[8]Amortizaciones!D17</f>
        <v>0</v>
      </c>
      <c r="E75" s="77" t="s">
        <v>257</v>
      </c>
      <c r="F75" s="78" t="s">
        <v>258</v>
      </c>
      <c r="G75" s="79">
        <v>13717535</v>
      </c>
    </row>
    <row r="76" spans="2:7">
      <c r="B76" s="18" t="s">
        <v>259</v>
      </c>
      <c r="C76" s="106" t="s">
        <v>260</v>
      </c>
      <c r="D76" s="106">
        <f>[8]Amortizaciones!D18</f>
        <v>0</v>
      </c>
      <c r="E76" s="77" t="s">
        <v>261</v>
      </c>
      <c r="F76" s="78" t="s">
        <v>262</v>
      </c>
      <c r="G76" s="79">
        <f>250207.62+51089498.96</f>
        <v>51339706.579999998</v>
      </c>
    </row>
    <row r="77" spans="2:7">
      <c r="B77" s="18" t="s">
        <v>263</v>
      </c>
      <c r="C77" s="106" t="s">
        <v>264</v>
      </c>
      <c r="D77" s="106">
        <f>SUM(D64:D76)</f>
        <v>40675132</v>
      </c>
      <c r="E77" s="77" t="s">
        <v>265</v>
      </c>
      <c r="F77" s="78" t="s">
        <v>266</v>
      </c>
      <c r="G77" s="79">
        <f>6321983.2+38278650.81+11984469+34800280+7178505.12+96094100.18-887.26</f>
        <v>194657101.05000001</v>
      </c>
    </row>
    <row r="78" spans="2:7">
      <c r="B78" s="18"/>
      <c r="C78" s="106"/>
      <c r="D78" s="106"/>
      <c r="E78" s="77" t="s">
        <v>267</v>
      </c>
      <c r="F78" s="78" t="s">
        <v>268</v>
      </c>
      <c r="G78" s="84">
        <f>4162662+6235023.59+61566160+1801128.33+6326412</f>
        <v>80091385.920000002</v>
      </c>
    </row>
    <row r="79" spans="2:7" ht="16.5" thickBot="1">
      <c r="B79" s="18"/>
      <c r="C79" s="105" t="s">
        <v>269</v>
      </c>
      <c r="D79" s="107"/>
      <c r="E79" s="77"/>
      <c r="F79" s="85" t="s">
        <v>270</v>
      </c>
      <c r="G79" s="86">
        <f>SUM(G58:G78)</f>
        <v>2403913561.5500002</v>
      </c>
    </row>
    <row r="80" spans="2:7">
      <c r="B80" s="18" t="s">
        <v>271</v>
      </c>
      <c r="C80" s="106" t="s">
        <v>236</v>
      </c>
      <c r="D80" s="106">
        <f>[8]Amortizaciones!D22</f>
        <v>0</v>
      </c>
      <c r="E80" s="77" t="s">
        <v>272</v>
      </c>
      <c r="F80" s="80" t="s">
        <v>273</v>
      </c>
      <c r="G80" s="81">
        <v>0</v>
      </c>
    </row>
    <row r="81" spans="2:7">
      <c r="B81" s="18" t="s">
        <v>274</v>
      </c>
      <c r="C81" s="106" t="s">
        <v>240</v>
      </c>
      <c r="D81" s="106">
        <f>[8]Amortizaciones!D23</f>
        <v>0</v>
      </c>
      <c r="E81" s="77" t="s">
        <v>275</v>
      </c>
      <c r="F81" s="78" t="s">
        <v>276</v>
      </c>
      <c r="G81" s="79">
        <v>909236</v>
      </c>
    </row>
    <row r="82" spans="2:7">
      <c r="B82" s="18" t="s">
        <v>277</v>
      </c>
      <c r="C82" s="106" t="s">
        <v>244</v>
      </c>
      <c r="D82" s="106">
        <f>[8]Amortizaciones!D24</f>
        <v>2840570</v>
      </c>
      <c r="E82" s="77" t="s">
        <v>278</v>
      </c>
      <c r="F82" s="78" t="s">
        <v>279</v>
      </c>
      <c r="G82" s="79">
        <v>1111647</v>
      </c>
    </row>
    <row r="83" spans="2:7">
      <c r="B83" s="18" t="s">
        <v>280</v>
      </c>
      <c r="C83" s="106" t="s">
        <v>248</v>
      </c>
      <c r="D83" s="106">
        <f>[8]Amortizaciones!D25</f>
        <v>0</v>
      </c>
      <c r="E83" s="77" t="s">
        <v>281</v>
      </c>
      <c r="F83" s="78" t="s">
        <v>282</v>
      </c>
      <c r="G83" s="79">
        <v>693435</v>
      </c>
    </row>
    <row r="84" spans="2:7">
      <c r="B84" s="18" t="s">
        <v>283</v>
      </c>
      <c r="C84" s="106" t="s">
        <v>284</v>
      </c>
      <c r="D84" s="106">
        <v>0</v>
      </c>
      <c r="E84" s="77" t="s">
        <v>285</v>
      </c>
      <c r="F84" s="78" t="s">
        <v>286</v>
      </c>
      <c r="G84" s="79">
        <v>3631991</v>
      </c>
    </row>
    <row r="85" spans="2:7">
      <c r="B85" s="18" t="s">
        <v>287</v>
      </c>
      <c r="C85" s="106" t="s">
        <v>288</v>
      </c>
      <c r="D85" s="106">
        <f>[8]Amortizaciones!D27</f>
        <v>0</v>
      </c>
      <c r="E85" s="77" t="s">
        <v>289</v>
      </c>
      <c r="F85" s="78" t="s">
        <v>290</v>
      </c>
      <c r="G85" s="79">
        <v>1731870</v>
      </c>
    </row>
    <row r="86" spans="2:7" ht="13.5" customHeight="1">
      <c r="B86" s="18" t="s">
        <v>291</v>
      </c>
      <c r="C86" s="106" t="s">
        <v>292</v>
      </c>
      <c r="D86" s="106">
        <f>[8]Amortizaciones!D28</f>
        <v>0</v>
      </c>
      <c r="E86" s="77" t="s">
        <v>293</v>
      </c>
      <c r="F86" s="78" t="s">
        <v>294</v>
      </c>
      <c r="G86" s="79">
        <v>298122</v>
      </c>
    </row>
    <row r="87" spans="2:7" ht="13.5" customHeight="1">
      <c r="B87" s="18" t="s">
        <v>295</v>
      </c>
      <c r="C87" s="106" t="s">
        <v>296</v>
      </c>
      <c r="D87" s="106">
        <f>[8]Amortizaciones!D29</f>
        <v>11698</v>
      </c>
      <c r="E87" s="77" t="s">
        <v>297</v>
      </c>
      <c r="F87" s="78" t="s">
        <v>298</v>
      </c>
      <c r="G87" s="79">
        <v>0</v>
      </c>
    </row>
    <row r="88" spans="2:7" ht="13.5" customHeight="1">
      <c r="B88" s="18" t="s">
        <v>299</v>
      </c>
      <c r="C88" s="106" t="s">
        <v>300</v>
      </c>
      <c r="D88" s="106">
        <f>[8]Amortizaciones!D30</f>
        <v>18699737</v>
      </c>
      <c r="E88" s="77" t="s">
        <v>301</v>
      </c>
      <c r="F88" s="78" t="s">
        <v>302</v>
      </c>
      <c r="G88" s="79">
        <v>186624</v>
      </c>
    </row>
    <row r="89" spans="2:7">
      <c r="B89" s="18" t="s">
        <v>303</v>
      </c>
      <c r="C89" s="106" t="s">
        <v>212</v>
      </c>
      <c r="D89" s="106">
        <f>[8]Amortizaciones!D31</f>
        <v>0</v>
      </c>
      <c r="E89" s="77" t="s">
        <v>304</v>
      </c>
      <c r="F89" s="78" t="s">
        <v>305</v>
      </c>
      <c r="G89" s="79">
        <f>26884706+7343018</f>
        <v>34227724</v>
      </c>
    </row>
    <row r="90" spans="2:7" ht="14.25" customHeight="1">
      <c r="B90" s="18" t="s">
        <v>306</v>
      </c>
      <c r="C90" s="106" t="s">
        <v>228</v>
      </c>
      <c r="D90" s="106">
        <f>[8]Amortizaciones!D32</f>
        <v>0</v>
      </c>
      <c r="E90" s="77" t="s">
        <v>307</v>
      </c>
      <c r="F90" s="78" t="s">
        <v>308</v>
      </c>
      <c r="G90" s="79">
        <v>15949511</v>
      </c>
    </row>
    <row r="91" spans="2:7" ht="14.25" customHeight="1">
      <c r="B91" s="18" t="s">
        <v>309</v>
      </c>
      <c r="C91" s="106" t="s">
        <v>310</v>
      </c>
      <c r="D91" s="106">
        <f>SUM(D80:D90)</f>
        <v>21552005</v>
      </c>
      <c r="E91" s="108" t="s">
        <v>311</v>
      </c>
      <c r="F91" s="78" t="s">
        <v>312</v>
      </c>
      <c r="G91" s="79">
        <v>3832926</v>
      </c>
    </row>
    <row r="92" spans="2:7" ht="14.25" customHeight="1">
      <c r="B92" s="18"/>
      <c r="C92" s="109" t="s">
        <v>313</v>
      </c>
      <c r="D92" s="106">
        <f>D77+D91</f>
        <v>62227137</v>
      </c>
      <c r="E92" s="108" t="s">
        <v>314</v>
      </c>
      <c r="F92" s="78" t="s">
        <v>315</v>
      </c>
      <c r="G92" s="79">
        <v>0</v>
      </c>
    </row>
    <row r="93" spans="2:7">
      <c r="C93" s="104"/>
      <c r="D93" s="104"/>
      <c r="E93" s="108" t="s">
        <v>316</v>
      </c>
      <c r="F93" s="78" t="s">
        <v>317</v>
      </c>
      <c r="G93" s="79">
        <v>3580929</v>
      </c>
    </row>
    <row r="94" spans="2:7">
      <c r="C94" s="104"/>
      <c r="D94" s="104"/>
      <c r="E94" s="108" t="s">
        <v>318</v>
      </c>
      <c r="F94" s="78" t="s">
        <v>319</v>
      </c>
      <c r="G94" s="84">
        <v>2165106</v>
      </c>
    </row>
    <row r="95" spans="2:7" ht="13.5" customHeight="1" thickBot="1">
      <c r="C95" s="104"/>
      <c r="D95" s="104"/>
      <c r="E95" s="77"/>
      <c r="F95" s="85" t="s">
        <v>320</v>
      </c>
      <c r="G95" s="86">
        <f>SUM(G80:G94)</f>
        <v>68319121</v>
      </c>
    </row>
    <row r="96" spans="2:7">
      <c r="C96" s="104"/>
      <c r="D96" s="104"/>
      <c r="E96" s="108" t="s">
        <v>321</v>
      </c>
      <c r="F96" s="80" t="s">
        <v>322</v>
      </c>
      <c r="G96" s="81">
        <v>6705906</v>
      </c>
    </row>
    <row r="97" spans="2:7">
      <c r="C97" s="104"/>
      <c r="D97" s="104"/>
      <c r="E97" s="108" t="s">
        <v>323</v>
      </c>
      <c r="F97" s="78" t="s">
        <v>324</v>
      </c>
      <c r="G97" s="79">
        <v>1528303</v>
      </c>
    </row>
    <row r="98" spans="2:7">
      <c r="C98" s="104"/>
      <c r="D98" s="104"/>
      <c r="E98" s="108" t="s">
        <v>325</v>
      </c>
      <c r="F98" s="78" t="s">
        <v>326</v>
      </c>
      <c r="G98" s="79">
        <v>0</v>
      </c>
    </row>
    <row r="99" spans="2:7">
      <c r="C99" s="104"/>
      <c r="D99" s="104"/>
      <c r="E99" s="108" t="s">
        <v>327</v>
      </c>
      <c r="F99" s="78" t="s">
        <v>328</v>
      </c>
      <c r="G99" s="79">
        <v>0</v>
      </c>
    </row>
    <row r="100" spans="2:7">
      <c r="C100" s="104"/>
      <c r="D100" s="104"/>
      <c r="E100" s="108" t="s">
        <v>329</v>
      </c>
      <c r="F100" s="78" t="s">
        <v>330</v>
      </c>
      <c r="G100" s="84">
        <v>283556.49</v>
      </c>
    </row>
    <row r="101" spans="2:7" ht="12.75" customHeight="1" thickBot="1">
      <c r="C101" s="104"/>
      <c r="D101" s="104"/>
      <c r="E101" s="77"/>
      <c r="F101" s="85" t="s">
        <v>331</v>
      </c>
      <c r="G101" s="86">
        <f>SUM(G96:G100)</f>
        <v>8517765.4900000002</v>
      </c>
    </row>
    <row r="102" spans="2:7" ht="12.75" customHeight="1" thickBot="1">
      <c r="C102" s="104"/>
      <c r="D102" s="104"/>
      <c r="E102" s="108"/>
      <c r="F102" s="110" t="s">
        <v>332</v>
      </c>
      <c r="G102" s="111">
        <f>[8]Amortizaciones!D19</f>
        <v>40675132</v>
      </c>
    </row>
    <row r="103" spans="2:7">
      <c r="C103" s="104"/>
      <c r="D103" s="104"/>
      <c r="E103" s="108" t="s">
        <v>333</v>
      </c>
      <c r="F103" s="78" t="s">
        <v>334</v>
      </c>
      <c r="G103" s="81">
        <v>0</v>
      </c>
    </row>
    <row r="104" spans="2:7">
      <c r="C104" s="104"/>
      <c r="D104" s="104"/>
      <c r="E104" s="108" t="s">
        <v>335</v>
      </c>
      <c r="F104" s="112" t="s">
        <v>336</v>
      </c>
      <c r="G104" s="79">
        <v>0</v>
      </c>
    </row>
    <row r="105" spans="2:7" ht="14.25" customHeight="1" thickBot="1">
      <c r="C105" s="104"/>
      <c r="D105" s="104"/>
      <c r="E105" s="77"/>
      <c r="F105" s="85" t="s">
        <v>337</v>
      </c>
      <c r="G105" s="86">
        <f>SUM(G103:G104)</f>
        <v>0</v>
      </c>
    </row>
    <row r="106" spans="2:7" ht="14.25" customHeight="1" thickBot="1">
      <c r="B106" s="5"/>
      <c r="C106" s="113"/>
      <c r="D106" s="113"/>
      <c r="E106" s="108"/>
      <c r="F106" s="72" t="s">
        <v>338</v>
      </c>
      <c r="G106" s="103">
        <f>G19+G27+G32+G48+G57+G79+G95+G101+G102+G105</f>
        <v>4209121850.04</v>
      </c>
    </row>
    <row r="107" spans="2:7" ht="5.25" customHeight="1">
      <c r="B107" s="5"/>
      <c r="C107" s="113"/>
      <c r="D107" s="113"/>
      <c r="E107" s="77"/>
      <c r="F107" s="114"/>
      <c r="G107" s="115"/>
    </row>
    <row r="108" spans="2:7" ht="5.25" customHeight="1" thickBot="1">
      <c r="B108" s="5"/>
      <c r="C108" s="113"/>
      <c r="D108" s="113"/>
      <c r="E108" s="77"/>
      <c r="F108" s="116"/>
      <c r="G108" s="116"/>
    </row>
    <row r="109" spans="2:7" ht="16.5" customHeight="1" thickBot="1">
      <c r="B109" s="5"/>
      <c r="C109" s="113"/>
      <c r="D109" s="113"/>
      <c r="E109" s="77"/>
      <c r="F109" s="72" t="s">
        <v>339</v>
      </c>
      <c r="G109" s="103">
        <f>D61-G106</f>
        <v>138704458.96000004</v>
      </c>
    </row>
    <row r="110" spans="2:7" ht="6.75" customHeight="1" thickBot="1">
      <c r="B110" s="5"/>
      <c r="C110" s="117"/>
      <c r="D110" s="117"/>
      <c r="E110" s="77"/>
      <c r="F110" s="116"/>
      <c r="G110" s="116"/>
    </row>
    <row r="111" spans="2:7" ht="15" customHeight="1" thickBot="1">
      <c r="C111" s="72" t="s">
        <v>269</v>
      </c>
      <c r="D111" s="118">
        <f>+[8]E.S.P.!D6</f>
        <v>2021</v>
      </c>
      <c r="E111" s="108"/>
      <c r="F111" s="72" t="s">
        <v>340</v>
      </c>
      <c r="G111" s="118">
        <f>+[8]E.S.P.!D6</f>
        <v>2021</v>
      </c>
    </row>
    <row r="112" spans="2:7" ht="13.7" customHeight="1">
      <c r="B112" s="5" t="s">
        <v>341</v>
      </c>
      <c r="C112" s="119" t="s">
        <v>342</v>
      </c>
      <c r="D112" s="120">
        <f>6146238+23023017+535011+2003002+377256+1413153-7058505</f>
        <v>26439172</v>
      </c>
      <c r="E112" s="77" t="s">
        <v>343</v>
      </c>
      <c r="F112" s="119" t="s">
        <v>308</v>
      </c>
      <c r="G112" s="120">
        <v>0</v>
      </c>
    </row>
    <row r="113" spans="2:7" ht="13.7" customHeight="1">
      <c r="B113" s="5" t="s">
        <v>344</v>
      </c>
      <c r="C113" s="121" t="s">
        <v>345</v>
      </c>
      <c r="D113" s="122">
        <f>171308302+2197238+58732854+15279988+191160+4967532+8963714+134866+3677197-171343562</f>
        <v>94109289</v>
      </c>
      <c r="E113" s="77" t="s">
        <v>346</v>
      </c>
      <c r="F113" s="121" t="s">
        <v>347</v>
      </c>
      <c r="G113" s="122">
        <v>0</v>
      </c>
    </row>
    <row r="114" spans="2:7" ht="13.7" customHeight="1">
      <c r="B114" s="5" t="s">
        <v>348</v>
      </c>
      <c r="C114" s="121" t="s">
        <v>48</v>
      </c>
      <c r="D114" s="122">
        <v>0</v>
      </c>
      <c r="E114" s="77" t="s">
        <v>349</v>
      </c>
      <c r="F114" s="121" t="s">
        <v>350</v>
      </c>
      <c r="G114" s="122">
        <v>10918791</v>
      </c>
    </row>
    <row r="115" spans="2:7" ht="13.7" customHeight="1">
      <c r="B115" s="5" t="s">
        <v>351</v>
      </c>
      <c r="C115" s="121" t="s">
        <v>352</v>
      </c>
      <c r="D115" s="122">
        <f>1460347-307716</f>
        <v>1152631</v>
      </c>
      <c r="E115" s="77" t="s">
        <v>353</v>
      </c>
      <c r="F115" s="121" t="s">
        <v>354</v>
      </c>
      <c r="G115" s="122">
        <v>0</v>
      </c>
    </row>
    <row r="116" spans="2:7" ht="13.7" customHeight="1">
      <c r="B116" s="5" t="s">
        <v>355</v>
      </c>
      <c r="C116" s="121" t="s">
        <v>356</v>
      </c>
      <c r="D116" s="122">
        <f>11158308-8088424</f>
        <v>3069884</v>
      </c>
      <c r="E116" s="77" t="s">
        <v>357</v>
      </c>
      <c r="F116" s="121" t="s">
        <v>358</v>
      </c>
      <c r="G116" s="122">
        <v>0</v>
      </c>
    </row>
    <row r="117" spans="2:7" ht="13.7" customHeight="1">
      <c r="B117" s="5" t="s">
        <v>359</v>
      </c>
      <c r="C117" s="121" t="s">
        <v>360</v>
      </c>
      <c r="D117" s="122">
        <v>847012</v>
      </c>
      <c r="E117" s="77" t="s">
        <v>361</v>
      </c>
      <c r="F117" s="121" t="s">
        <v>362</v>
      </c>
      <c r="G117" s="122">
        <v>0</v>
      </c>
    </row>
    <row r="118" spans="2:7" ht="13.7" customHeight="1">
      <c r="B118" s="5" t="s">
        <v>363</v>
      </c>
      <c r="C118" s="121" t="s">
        <v>364</v>
      </c>
      <c r="D118" s="122">
        <v>0</v>
      </c>
      <c r="E118" s="77" t="s">
        <v>365</v>
      </c>
      <c r="F118" s="121" t="s">
        <v>366</v>
      </c>
      <c r="G118" s="122">
        <v>0</v>
      </c>
    </row>
    <row r="119" spans="2:7" ht="13.7" customHeight="1">
      <c r="B119" s="5" t="s">
        <v>367</v>
      </c>
      <c r="C119" s="121" t="s">
        <v>368</v>
      </c>
      <c r="D119" s="122">
        <v>650401</v>
      </c>
      <c r="E119" s="77" t="s">
        <v>369</v>
      </c>
      <c r="F119" s="121" t="s">
        <v>370</v>
      </c>
      <c r="G119" s="122">
        <v>0</v>
      </c>
    </row>
    <row r="120" spans="2:7" ht="13.7" customHeight="1">
      <c r="B120" s="5" t="s">
        <v>371</v>
      </c>
      <c r="C120" s="121" t="s">
        <v>372</v>
      </c>
      <c r="D120" s="122">
        <v>0</v>
      </c>
      <c r="E120" s="77" t="s">
        <v>373</v>
      </c>
      <c r="F120" s="121" t="s">
        <v>374</v>
      </c>
      <c r="G120" s="122">
        <v>0</v>
      </c>
    </row>
    <row r="121" spans="2:7" ht="13.7" customHeight="1">
      <c r="B121" s="5" t="s">
        <v>375</v>
      </c>
      <c r="C121" s="78" t="s">
        <v>376</v>
      </c>
      <c r="D121" s="122">
        <f>11031327.56+463096.49-10606-243283-278781-6632119</f>
        <v>4329635.0500000007</v>
      </c>
      <c r="E121" s="77" t="s">
        <v>377</v>
      </c>
      <c r="F121" s="121" t="s">
        <v>378</v>
      </c>
      <c r="G121" s="122">
        <v>3778546</v>
      </c>
    </row>
    <row r="122" spans="2:7" ht="13.7" customHeight="1" thickBot="1">
      <c r="B122" s="5"/>
      <c r="C122" s="85" t="s">
        <v>379</v>
      </c>
      <c r="D122" s="94">
        <f>SUM(D112:D121)</f>
        <v>130598024.05</v>
      </c>
      <c r="E122" s="77" t="s">
        <v>380</v>
      </c>
      <c r="F122" s="78" t="s">
        <v>381</v>
      </c>
      <c r="G122" s="79">
        <v>571217</v>
      </c>
    </row>
    <row r="123" spans="2:7" ht="13.7" customHeight="1" thickBot="1">
      <c r="B123" s="5" t="s">
        <v>382</v>
      </c>
      <c r="C123" s="123" t="s">
        <v>308</v>
      </c>
      <c r="D123" s="120">
        <v>7931037</v>
      </c>
      <c r="E123" s="108"/>
      <c r="F123" s="85" t="s">
        <v>383</v>
      </c>
      <c r="G123" s="94">
        <f>SUM(G112:G122)</f>
        <v>15268554</v>
      </c>
    </row>
    <row r="124" spans="2:7" ht="13.7" customHeight="1">
      <c r="B124" s="5" t="s">
        <v>384</v>
      </c>
      <c r="C124" s="121" t="s">
        <v>312</v>
      </c>
      <c r="D124" s="122">
        <v>0</v>
      </c>
      <c r="E124" s="77" t="s">
        <v>385</v>
      </c>
      <c r="F124" s="121" t="s">
        <v>386</v>
      </c>
      <c r="G124" s="122">
        <v>1076393</v>
      </c>
    </row>
    <row r="125" spans="2:7" ht="13.7" customHeight="1">
      <c r="B125" s="5" t="s">
        <v>387</v>
      </c>
      <c r="C125" s="78" t="s">
        <v>388</v>
      </c>
      <c r="D125" s="122">
        <v>272467</v>
      </c>
      <c r="E125" s="77" t="s">
        <v>389</v>
      </c>
      <c r="F125" s="121" t="s">
        <v>390</v>
      </c>
      <c r="G125" s="122">
        <v>369264</v>
      </c>
    </row>
    <row r="126" spans="2:7" ht="13.7" customHeight="1" thickBot="1">
      <c r="B126" s="5"/>
      <c r="C126" s="85" t="s">
        <v>391</v>
      </c>
      <c r="D126" s="94">
        <f>SUM(D123:D125)</f>
        <v>8203504</v>
      </c>
      <c r="E126" s="77" t="s">
        <v>392</v>
      </c>
      <c r="F126" s="121" t="s">
        <v>393</v>
      </c>
      <c r="G126" s="122">
        <v>3060604</v>
      </c>
    </row>
    <row r="127" spans="2:7" ht="13.7" customHeight="1">
      <c r="B127" s="5" t="s">
        <v>394</v>
      </c>
      <c r="C127" s="119" t="s">
        <v>273</v>
      </c>
      <c r="D127" s="120">
        <v>12081659</v>
      </c>
      <c r="E127" s="77" t="s">
        <v>395</v>
      </c>
      <c r="F127" s="121" t="s">
        <v>396</v>
      </c>
      <c r="G127" s="122">
        <v>0</v>
      </c>
    </row>
    <row r="128" spans="2:7" ht="13.7" customHeight="1">
      <c r="B128" s="5" t="s">
        <v>397</v>
      </c>
      <c r="C128" s="121" t="s">
        <v>398</v>
      </c>
      <c r="D128" s="122">
        <f>1139903+2581570</f>
        <v>3721473</v>
      </c>
      <c r="E128" s="77" t="s">
        <v>399</v>
      </c>
      <c r="F128" s="121" t="s">
        <v>400</v>
      </c>
      <c r="G128" s="122">
        <v>0</v>
      </c>
    </row>
    <row r="129" spans="2:7" ht="13.7" customHeight="1">
      <c r="B129" s="5" t="s">
        <v>401</v>
      </c>
      <c r="C129" s="121" t="s">
        <v>276</v>
      </c>
      <c r="D129" s="122">
        <v>3462260</v>
      </c>
      <c r="E129" s="77" t="s">
        <v>402</v>
      </c>
      <c r="F129" s="121" t="s">
        <v>403</v>
      </c>
      <c r="G129" s="122">
        <f>1645788.98+15299794.21</f>
        <v>16945583.190000001</v>
      </c>
    </row>
    <row r="130" spans="2:7" ht="13.7" customHeight="1">
      <c r="B130" s="5" t="s">
        <v>404</v>
      </c>
      <c r="C130" s="121" t="s">
        <v>282</v>
      </c>
      <c r="D130" s="122">
        <v>311503</v>
      </c>
      <c r="E130" s="77" t="s">
        <v>405</v>
      </c>
      <c r="F130" s="121" t="s">
        <v>406</v>
      </c>
      <c r="G130" s="122">
        <v>0</v>
      </c>
    </row>
    <row r="131" spans="2:7" ht="13.7" customHeight="1">
      <c r="B131" s="5" t="s">
        <v>407</v>
      </c>
      <c r="C131" s="121" t="s">
        <v>286</v>
      </c>
      <c r="D131" s="122">
        <v>1587656</v>
      </c>
      <c r="E131" s="77" t="s">
        <v>408</v>
      </c>
      <c r="F131" s="121" t="s">
        <v>409</v>
      </c>
      <c r="G131" s="122">
        <v>0</v>
      </c>
    </row>
    <row r="132" spans="2:7" ht="13.7" customHeight="1">
      <c r="B132" s="5" t="s">
        <v>410</v>
      </c>
      <c r="C132" s="121" t="s">
        <v>290</v>
      </c>
      <c r="D132" s="122">
        <v>3940318</v>
      </c>
      <c r="E132" s="77" t="s">
        <v>411</v>
      </c>
      <c r="F132" s="121" t="s">
        <v>412</v>
      </c>
      <c r="G132" s="122">
        <v>4844591</v>
      </c>
    </row>
    <row r="133" spans="2:7" ht="13.7" customHeight="1">
      <c r="B133" s="5" t="s">
        <v>413</v>
      </c>
      <c r="C133" s="121" t="s">
        <v>294</v>
      </c>
      <c r="D133" s="122">
        <v>0</v>
      </c>
      <c r="E133" s="77" t="s">
        <v>414</v>
      </c>
      <c r="F133" s="121" t="s">
        <v>415</v>
      </c>
      <c r="G133" s="122">
        <v>0</v>
      </c>
    </row>
    <row r="134" spans="2:7" ht="13.7" customHeight="1">
      <c r="B134" s="5" t="s">
        <v>416</v>
      </c>
      <c r="C134" s="121" t="s">
        <v>417</v>
      </c>
      <c r="D134" s="122">
        <v>311187</v>
      </c>
      <c r="E134" s="77" t="s">
        <v>418</v>
      </c>
      <c r="F134" s="121" t="s">
        <v>419</v>
      </c>
      <c r="G134" s="122">
        <v>849398</v>
      </c>
    </row>
    <row r="135" spans="2:7" ht="13.7" customHeight="1">
      <c r="B135" s="5" t="s">
        <v>420</v>
      </c>
      <c r="C135" s="121" t="s">
        <v>421</v>
      </c>
      <c r="D135" s="122">
        <f>4222981+50988.32+30520027.38-36600+8266085.2+181798.74</f>
        <v>43205280.640000008</v>
      </c>
      <c r="E135" s="77" t="s">
        <v>422</v>
      </c>
      <c r="F135" s="121" t="s">
        <v>423</v>
      </c>
      <c r="G135" s="122">
        <v>0</v>
      </c>
    </row>
    <row r="136" spans="2:7" ht="13.7" customHeight="1">
      <c r="B136" s="5" t="s">
        <v>424</v>
      </c>
      <c r="C136" s="121" t="s">
        <v>317</v>
      </c>
      <c r="D136" s="122">
        <f>1952117+3534-130340+125681</f>
        <v>1950992</v>
      </c>
      <c r="E136" s="77" t="s">
        <v>425</v>
      </c>
      <c r="F136" s="121" t="s">
        <v>426</v>
      </c>
      <c r="G136" s="122">
        <v>0</v>
      </c>
    </row>
    <row r="137" spans="2:7" ht="13.7" customHeight="1">
      <c r="B137" s="5" t="s">
        <v>427</v>
      </c>
      <c r="C137" s="78" t="s">
        <v>319</v>
      </c>
      <c r="D137" s="124">
        <f>2504126-16102</f>
        <v>2488024</v>
      </c>
      <c r="E137" s="77" t="s">
        <v>428</v>
      </c>
      <c r="F137" s="121" t="s">
        <v>429</v>
      </c>
      <c r="G137" s="122">
        <v>25943940</v>
      </c>
    </row>
    <row r="138" spans="2:7" ht="13.7" customHeight="1" thickBot="1">
      <c r="B138" s="5"/>
      <c r="C138" s="85" t="s">
        <v>320</v>
      </c>
      <c r="D138" s="94">
        <f>SUM(D127:D137)</f>
        <v>73060352.640000015</v>
      </c>
      <c r="E138" s="77" t="s">
        <v>430</v>
      </c>
      <c r="F138" s="78" t="s">
        <v>431</v>
      </c>
      <c r="G138" s="79">
        <v>1169143</v>
      </c>
    </row>
    <row r="139" spans="2:7" ht="13.7" customHeight="1" thickBot="1">
      <c r="B139" s="5" t="s">
        <v>432</v>
      </c>
      <c r="C139" s="119" t="s">
        <v>326</v>
      </c>
      <c r="D139" s="120">
        <v>0</v>
      </c>
      <c r="E139" s="125"/>
      <c r="F139" s="85" t="s">
        <v>433</v>
      </c>
      <c r="G139" s="94">
        <f>SUM(G124:G138)</f>
        <v>54258916.189999998</v>
      </c>
    </row>
    <row r="140" spans="2:7" ht="13.7" customHeight="1" thickBot="1">
      <c r="B140" s="5" t="s">
        <v>434</v>
      </c>
      <c r="C140" s="121" t="s">
        <v>328</v>
      </c>
      <c r="D140" s="122">
        <v>3510139</v>
      </c>
      <c r="E140" s="125"/>
      <c r="F140" s="110" t="s">
        <v>435</v>
      </c>
      <c r="G140" s="126">
        <f>G123-G139</f>
        <v>-38990362.189999998</v>
      </c>
    </row>
    <row r="141" spans="2:7" ht="13.7" customHeight="1">
      <c r="B141" s="5" t="s">
        <v>436</v>
      </c>
      <c r="C141" s="78" t="s">
        <v>330</v>
      </c>
      <c r="D141" s="124">
        <v>119286</v>
      </c>
      <c r="E141" s="127"/>
      <c r="F141" s="116"/>
      <c r="G141" s="116"/>
    </row>
    <row r="142" spans="2:7" ht="13.7" customHeight="1" thickBot="1">
      <c r="B142" s="5"/>
      <c r="C142" s="85" t="s">
        <v>331</v>
      </c>
      <c r="D142" s="94">
        <f>SUM(D139:D141)</f>
        <v>3629425</v>
      </c>
      <c r="E142" s="127"/>
      <c r="F142" s="116"/>
      <c r="G142" s="116"/>
    </row>
    <row r="143" spans="2:7" ht="13.5" customHeight="1" thickBot="1">
      <c r="B143" s="5"/>
      <c r="C143" s="110" t="s">
        <v>332</v>
      </c>
      <c r="D143" s="126">
        <f>[8]Amortizaciones!D33</f>
        <v>21552005</v>
      </c>
      <c r="E143" s="77"/>
      <c r="F143" s="72" t="s">
        <v>437</v>
      </c>
      <c r="G143" s="118">
        <f>+[8]E.S.P.!D6</f>
        <v>2021</v>
      </c>
    </row>
    <row r="144" spans="2:7" ht="13.7" customHeight="1">
      <c r="B144" s="5" t="s">
        <v>438</v>
      </c>
      <c r="C144" s="119" t="s">
        <v>439</v>
      </c>
      <c r="D144" s="120">
        <v>456757</v>
      </c>
      <c r="E144" s="77" t="s">
        <v>440</v>
      </c>
      <c r="F144" s="119" t="s">
        <v>441</v>
      </c>
      <c r="G144" s="120">
        <v>12571085</v>
      </c>
    </row>
    <row r="145" spans="2:7" ht="13.7" customHeight="1">
      <c r="B145" s="5" t="s">
        <v>442</v>
      </c>
      <c r="C145" s="121" t="s">
        <v>443</v>
      </c>
      <c r="D145" s="122">
        <v>0</v>
      </c>
      <c r="E145" s="77" t="s">
        <v>444</v>
      </c>
      <c r="F145" s="121" t="s">
        <v>445</v>
      </c>
      <c r="G145" s="122">
        <v>25502130</v>
      </c>
    </row>
    <row r="146" spans="2:7" ht="13.7" customHeight="1">
      <c r="B146" s="5" t="s">
        <v>446</v>
      </c>
      <c r="C146" s="128" t="s">
        <v>447</v>
      </c>
      <c r="D146" s="122">
        <v>0</v>
      </c>
      <c r="E146" s="77" t="s">
        <v>448</v>
      </c>
      <c r="F146" s="121" t="s">
        <v>449</v>
      </c>
      <c r="G146" s="122">
        <v>3956337</v>
      </c>
    </row>
    <row r="147" spans="2:7" ht="13.7" customHeight="1">
      <c r="B147" s="5" t="s">
        <v>450</v>
      </c>
      <c r="C147" s="78" t="s">
        <v>451</v>
      </c>
      <c r="D147" s="124">
        <v>16102</v>
      </c>
      <c r="E147" s="77" t="s">
        <v>452</v>
      </c>
      <c r="F147" s="121" t="s">
        <v>453</v>
      </c>
      <c r="G147" s="122">
        <v>0</v>
      </c>
    </row>
    <row r="148" spans="2:7" ht="13.7" customHeight="1" thickBot="1">
      <c r="B148" s="5"/>
      <c r="C148" s="85" t="s">
        <v>518</v>
      </c>
      <c r="D148" s="94">
        <f>SUM(D144:D147)</f>
        <v>472859</v>
      </c>
      <c r="E148" s="77" t="s">
        <v>454</v>
      </c>
      <c r="F148" s="121" t="s">
        <v>455</v>
      </c>
      <c r="G148" s="122">
        <v>0</v>
      </c>
    </row>
    <row r="149" spans="2:7" ht="13.7" customHeight="1">
      <c r="B149" s="5" t="s">
        <v>456</v>
      </c>
      <c r="C149" s="119" t="s">
        <v>457</v>
      </c>
      <c r="D149" s="120">
        <v>0</v>
      </c>
      <c r="E149" s="77" t="s">
        <v>458</v>
      </c>
      <c r="F149" s="121" t="s">
        <v>459</v>
      </c>
      <c r="G149" s="122">
        <v>0</v>
      </c>
    </row>
    <row r="150" spans="2:7" ht="13.7" customHeight="1">
      <c r="B150" s="5" t="s">
        <v>460</v>
      </c>
      <c r="C150" s="121" t="s">
        <v>461</v>
      </c>
      <c r="D150" s="122">
        <v>0</v>
      </c>
      <c r="E150" s="77" t="s">
        <v>462</v>
      </c>
      <c r="F150" s="121" t="s">
        <v>463</v>
      </c>
      <c r="G150" s="122">
        <v>0</v>
      </c>
    </row>
    <row r="151" spans="2:7" ht="13.7" customHeight="1">
      <c r="B151" s="5" t="s">
        <v>464</v>
      </c>
      <c r="C151" s="78" t="s">
        <v>465</v>
      </c>
      <c r="D151" s="124">
        <v>0</v>
      </c>
      <c r="E151" s="77" t="s">
        <v>466</v>
      </c>
      <c r="F151" s="121" t="s">
        <v>467</v>
      </c>
      <c r="G151" s="122">
        <v>4788037</v>
      </c>
    </row>
    <row r="152" spans="2:7" ht="13.7" customHeight="1" thickBot="1">
      <c r="B152" s="5"/>
      <c r="C152" s="85" t="s">
        <v>516</v>
      </c>
      <c r="D152" s="94">
        <f>SUM(D149:D151)</f>
        <v>0</v>
      </c>
      <c r="E152" s="77" t="s">
        <v>469</v>
      </c>
      <c r="F152" s="121" t="s">
        <v>470</v>
      </c>
      <c r="G152" s="122">
        <v>0</v>
      </c>
    </row>
    <row r="153" spans="2:7" ht="15" customHeight="1" thickBot="1">
      <c r="B153" s="5"/>
      <c r="C153" s="110" t="s">
        <v>471</v>
      </c>
      <c r="D153" s="129">
        <f>D122+D126+D138+D142+D143+D148+D152</f>
        <v>237516169.69000003</v>
      </c>
      <c r="E153" s="77" t="s">
        <v>472</v>
      </c>
      <c r="F153" s="78" t="s">
        <v>473</v>
      </c>
      <c r="G153" s="79">
        <v>597305.43999999994</v>
      </c>
    </row>
    <row r="154" spans="2:7" ht="13.7" customHeight="1" thickBot="1">
      <c r="B154" s="5"/>
      <c r="C154" s="116"/>
      <c r="D154" s="116"/>
      <c r="E154" s="77"/>
      <c r="F154" s="85" t="s">
        <v>474</v>
      </c>
      <c r="G154" s="94">
        <f>SUM(G144:G153)</f>
        <v>47414894.439999998</v>
      </c>
    </row>
    <row r="155" spans="2:7" ht="13.5" customHeight="1" thickBot="1">
      <c r="B155" s="5"/>
      <c r="C155" s="72" t="s">
        <v>475</v>
      </c>
      <c r="D155" s="103">
        <f>G109-D153</f>
        <v>-98811710.729999989</v>
      </c>
      <c r="E155" s="77" t="s">
        <v>476</v>
      </c>
      <c r="F155" s="119" t="s">
        <v>477</v>
      </c>
      <c r="G155" s="120">
        <v>2240004.5099999998</v>
      </c>
    </row>
    <row r="156" spans="2:7" ht="13.7" customHeight="1">
      <c r="C156" s="130"/>
      <c r="D156" s="130"/>
      <c r="E156" s="77" t="s">
        <v>478</v>
      </c>
      <c r="F156" s="121" t="s">
        <v>479</v>
      </c>
      <c r="G156" s="122">
        <v>28656358</v>
      </c>
    </row>
    <row r="157" spans="2:7" ht="13.7" customHeight="1">
      <c r="C157" s="130"/>
      <c r="D157" s="130"/>
      <c r="E157" s="77" t="s">
        <v>480</v>
      </c>
      <c r="F157" s="121" t="s">
        <v>481</v>
      </c>
      <c r="G157" s="122">
        <v>0</v>
      </c>
    </row>
    <row r="158" spans="2:7" ht="13.7" customHeight="1">
      <c r="C158" s="130"/>
      <c r="D158" s="130"/>
      <c r="E158" s="77" t="s">
        <v>482</v>
      </c>
      <c r="F158" s="121" t="s">
        <v>483</v>
      </c>
      <c r="G158" s="122">
        <v>0</v>
      </c>
    </row>
    <row r="159" spans="2:7" ht="13.7" customHeight="1">
      <c r="C159" s="130"/>
      <c r="D159" s="130"/>
      <c r="E159" s="77" t="s">
        <v>484</v>
      </c>
      <c r="F159" s="121" t="s">
        <v>485</v>
      </c>
      <c r="G159" s="122">
        <v>0</v>
      </c>
    </row>
    <row r="160" spans="2:7" ht="13.7" customHeight="1">
      <c r="C160" s="130"/>
      <c r="D160" s="130"/>
      <c r="E160" s="77" t="s">
        <v>486</v>
      </c>
      <c r="F160" s="121" t="s">
        <v>487</v>
      </c>
      <c r="G160" s="122">
        <v>1337</v>
      </c>
    </row>
    <row r="161" spans="3:7" ht="13.7" customHeight="1">
      <c r="C161" s="130"/>
      <c r="D161" s="130"/>
      <c r="E161" s="77" t="s">
        <v>488</v>
      </c>
      <c r="F161" s="121" t="s">
        <v>489</v>
      </c>
      <c r="G161" s="122">
        <v>0</v>
      </c>
    </row>
    <row r="162" spans="3:7" ht="13.7" customHeight="1">
      <c r="C162" s="130"/>
      <c r="D162" s="130"/>
      <c r="E162" s="77" t="s">
        <v>490</v>
      </c>
      <c r="F162" s="121" t="s">
        <v>491</v>
      </c>
      <c r="G162" s="122">
        <v>0</v>
      </c>
    </row>
    <row r="163" spans="3:7" ht="13.7" customHeight="1">
      <c r="C163" s="130"/>
      <c r="D163" s="130"/>
      <c r="E163" s="77" t="s">
        <v>492</v>
      </c>
      <c r="F163" s="121" t="s">
        <v>493</v>
      </c>
      <c r="G163" s="122">
        <v>0</v>
      </c>
    </row>
    <row r="164" spans="3:7" ht="13.7" customHeight="1">
      <c r="C164" s="130"/>
      <c r="D164" s="130"/>
      <c r="E164" s="77" t="s">
        <v>494</v>
      </c>
      <c r="F164" s="121" t="s">
        <v>495</v>
      </c>
      <c r="G164" s="122">
        <v>142253</v>
      </c>
    </row>
    <row r="165" spans="3:7" ht="13.7" customHeight="1">
      <c r="C165" s="130"/>
      <c r="D165" s="130"/>
      <c r="E165" s="77" t="s">
        <v>496</v>
      </c>
      <c r="F165" s="121" t="s">
        <v>497</v>
      </c>
      <c r="G165" s="122">
        <v>0</v>
      </c>
    </row>
    <row r="166" spans="3:7" ht="13.7" customHeight="1">
      <c r="C166" s="130"/>
      <c r="D166" s="130"/>
      <c r="E166" s="77" t="s">
        <v>498</v>
      </c>
      <c r="F166" s="121" t="s">
        <v>499</v>
      </c>
      <c r="G166" s="122">
        <f>1749793.62</f>
        <v>1749793.62</v>
      </c>
    </row>
    <row r="167" spans="3:7" ht="13.7" customHeight="1">
      <c r="C167" s="130"/>
      <c r="D167" s="130"/>
      <c r="E167" s="77" t="s">
        <v>500</v>
      </c>
      <c r="F167" s="78" t="s">
        <v>501</v>
      </c>
      <c r="G167" s="79">
        <v>140446</v>
      </c>
    </row>
    <row r="168" spans="3:7" ht="13.7" customHeight="1" thickBot="1">
      <c r="C168" s="130"/>
      <c r="D168" s="130"/>
      <c r="E168" s="77"/>
      <c r="F168" s="85" t="s">
        <v>502</v>
      </c>
      <c r="G168" s="94">
        <f>SUM(G155:G167)</f>
        <v>32930192.129999999</v>
      </c>
    </row>
    <row r="169" spans="3:7" ht="13.7" customHeight="1" thickBot="1">
      <c r="C169" s="130"/>
      <c r="D169" s="130"/>
      <c r="E169" s="77"/>
      <c r="F169" s="110" t="s">
        <v>503</v>
      </c>
      <c r="G169" s="126">
        <f>G154-G168</f>
        <v>14484702.309999999</v>
      </c>
    </row>
    <row r="170" spans="3:7" ht="7.5" customHeight="1" thickBot="1">
      <c r="C170" s="130"/>
      <c r="D170" s="130"/>
      <c r="E170" s="77"/>
      <c r="F170" s="116"/>
      <c r="G170" s="116"/>
    </row>
    <row r="171" spans="3:7" ht="13.7" customHeight="1" thickBot="1">
      <c r="C171" s="130"/>
      <c r="D171" s="130"/>
      <c r="E171" s="77"/>
      <c r="F171" s="72" t="s">
        <v>504</v>
      </c>
      <c r="G171" s="131"/>
    </row>
    <row r="172" spans="3:7" ht="13.7" customHeight="1" thickBot="1">
      <c r="C172" s="130"/>
      <c r="D172" s="130"/>
      <c r="E172" s="77"/>
      <c r="F172" s="132"/>
      <c r="G172" s="133">
        <f>+D155+G140+G169</f>
        <v>-123317370.60999998</v>
      </c>
    </row>
    <row r="173" spans="3:7" ht="9" customHeight="1" thickBot="1">
      <c r="C173" s="130"/>
      <c r="D173" s="130"/>
      <c r="E173" s="77"/>
      <c r="F173" s="134"/>
      <c r="G173" s="135"/>
    </row>
    <row r="174" spans="3:7" ht="15" customHeight="1" thickBot="1">
      <c r="C174" s="130"/>
      <c r="D174" s="130"/>
      <c r="E174" s="77"/>
      <c r="F174" s="72" t="s">
        <v>505</v>
      </c>
      <c r="G174" s="118">
        <f>+G143</f>
        <v>2021</v>
      </c>
    </row>
    <row r="175" spans="3:7" ht="13.7" customHeight="1">
      <c r="C175" s="130"/>
      <c r="D175" s="130"/>
      <c r="E175" s="77"/>
      <c r="F175" s="119" t="s">
        <v>506</v>
      </c>
      <c r="G175" s="120">
        <v>0</v>
      </c>
    </row>
    <row r="176" spans="3:7" ht="13.7" customHeight="1">
      <c r="C176" s="130"/>
      <c r="D176" s="130"/>
      <c r="E176" s="77"/>
      <c r="F176" s="121" t="s">
        <v>507</v>
      </c>
      <c r="G176" s="122">
        <v>0</v>
      </c>
    </row>
    <row r="177" spans="1:8" ht="13.7" customHeight="1" thickBot="1">
      <c r="C177" s="130"/>
      <c r="D177" s="130"/>
      <c r="E177" s="77"/>
      <c r="F177" s="121" t="s">
        <v>508</v>
      </c>
      <c r="G177" s="122">
        <v>0</v>
      </c>
    </row>
    <row r="178" spans="1:8" ht="13.7" customHeight="1" thickBot="1">
      <c r="C178" s="130"/>
      <c r="D178" s="130"/>
      <c r="E178" s="77"/>
      <c r="F178" s="72" t="s">
        <v>509</v>
      </c>
      <c r="G178" s="103">
        <f>SUM(G175:G177)</f>
        <v>0</v>
      </c>
    </row>
    <row r="179" spans="1:8" ht="9.75" customHeight="1" thickBot="1">
      <c r="C179" s="130"/>
      <c r="D179" s="130"/>
      <c r="E179" s="77"/>
      <c r="F179" s="116"/>
      <c r="G179" s="116"/>
    </row>
    <row r="180" spans="1:8" ht="14.25" customHeight="1" thickBot="1">
      <c r="C180" s="130"/>
      <c r="D180" s="130"/>
      <c r="E180" s="77"/>
      <c r="F180" s="72" t="s">
        <v>519</v>
      </c>
      <c r="G180" s="131"/>
    </row>
    <row r="181" spans="1:8" ht="16.5" customHeight="1" thickBot="1">
      <c r="C181" s="130"/>
      <c r="D181" s="130"/>
      <c r="E181" s="77"/>
      <c r="F181" s="132"/>
      <c r="G181" s="133">
        <f>+G172+G178</f>
        <v>-123317370.60999998</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456" priority="2" stopIfTrue="1" operator="greaterThan">
      <formula>50</formula>
    </cfRule>
    <cfRule type="cellIs" dxfId="455" priority="11" stopIfTrue="1" operator="equal">
      <formula>0</formula>
    </cfRule>
  </conditionalFormatting>
  <conditionalFormatting sqref="D7:D61">
    <cfRule type="cellIs" dxfId="454" priority="9" stopIfTrue="1" operator="between">
      <formula>-0.1</formula>
      <formula>-50</formula>
    </cfRule>
    <cfRule type="cellIs" dxfId="453" priority="10" stopIfTrue="1" operator="between">
      <formula>0.1</formula>
      <formula>50</formula>
    </cfRule>
  </conditionalFormatting>
  <conditionalFormatting sqref="G152:G181 G7:G150">
    <cfRule type="cellIs" dxfId="452" priority="7" stopIfTrue="1" operator="between">
      <formula>-0.1</formula>
      <formula>-50</formula>
    </cfRule>
    <cfRule type="cellIs" dxfId="451" priority="8" stopIfTrue="1" operator="between">
      <formula>0.1</formula>
      <formula>50</formula>
    </cfRule>
  </conditionalFormatting>
  <conditionalFormatting sqref="D111:D155">
    <cfRule type="cellIs" dxfId="450" priority="5" stopIfTrue="1" operator="between">
      <formula>-0.1</formula>
      <formula>-50</formula>
    </cfRule>
    <cfRule type="cellIs" dxfId="449" priority="6" stopIfTrue="1" operator="between">
      <formula>0.1</formula>
      <formula>50</formula>
    </cfRule>
  </conditionalFormatting>
  <conditionalFormatting sqref="G165">
    <cfRule type="expression" dxfId="448" priority="4" stopIfTrue="1">
      <formula>AND($G$165&gt;0,$G$151&gt;0)</formula>
    </cfRule>
  </conditionalFormatting>
  <conditionalFormatting sqref="G151">
    <cfRule type="expression" dxfId="447"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166 D128:D137 G129 D112:D121 G89 G76:G78 G59:G61 D50:D51 G21:G26 G8:G18" unlockedFormula="1"/>
    <ignoredError sqref="G4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D183" sqref="D183"/>
    </sheetView>
  </sheetViews>
  <sheetFormatPr baseColWidth="10" defaultColWidth="0" defaultRowHeight="15.75" zeroHeight="1"/>
  <cols>
    <col min="1" max="1" width="3" style="1" customWidth="1"/>
    <col min="2" max="2" width="14.28515625" style="6" hidden="1" customWidth="1"/>
    <col min="3" max="3" width="56.7109375" style="19" customWidth="1"/>
    <col min="4" max="4" width="21" style="19" customWidth="1"/>
    <col min="5" max="5" width="3.85546875" style="13" customWidth="1"/>
    <col min="6" max="6" width="57.28515625" style="19" customWidth="1"/>
    <col min="7" max="7" width="21" style="19" customWidth="1"/>
    <col min="8" max="8" width="2.42578125" style="4" customWidth="1"/>
    <col min="9" max="16384" width="0" style="4" hidden="1"/>
  </cols>
  <sheetData>
    <row r="1" spans="1:9">
      <c r="B1" s="2"/>
      <c r="C1" s="255" t="s">
        <v>0</v>
      </c>
      <c r="D1" s="258"/>
      <c r="E1" s="253" t="str">
        <f>[9]Presentacion!C3</f>
        <v>GREMCA</v>
      </c>
      <c r="F1" s="253"/>
      <c r="G1" s="136"/>
      <c r="H1" s="3"/>
    </row>
    <row r="2" spans="1:9">
      <c r="B2" s="5"/>
      <c r="C2" s="255" t="s">
        <v>1</v>
      </c>
      <c r="D2" s="258"/>
      <c r="E2" s="253" t="str">
        <f>[9]Presentacion!C4</f>
        <v>Montevideo</v>
      </c>
      <c r="F2" s="253"/>
      <c r="G2" s="136"/>
      <c r="H2" s="3"/>
    </row>
    <row r="3" spans="1:9">
      <c r="B3" s="5"/>
      <c r="C3" s="255" t="s">
        <v>2</v>
      </c>
      <c r="D3" s="255"/>
      <c r="E3" s="254" t="s">
        <v>3</v>
      </c>
      <c r="F3" s="254"/>
      <c r="G3" s="136"/>
      <c r="H3" s="3"/>
    </row>
    <row r="4" spans="1:9" ht="13.5" customHeight="1" thickBot="1">
      <c r="C4" s="65"/>
      <c r="D4" s="7"/>
      <c r="E4" s="8"/>
      <c r="F4" s="9"/>
      <c r="G4" s="10"/>
    </row>
    <row r="5" spans="1:9" ht="18.75" customHeight="1" thickBot="1">
      <c r="B5" s="11"/>
      <c r="C5" s="72" t="s">
        <v>4</v>
      </c>
      <c r="D5" s="73" t="s">
        <v>5</v>
      </c>
      <c r="E5" s="74"/>
      <c r="F5" s="72" t="s">
        <v>6</v>
      </c>
      <c r="G5" s="73" t="s">
        <v>5</v>
      </c>
      <c r="I5" s="12"/>
    </row>
    <row r="6" spans="1:9" ht="12.75" customHeight="1" thickBot="1">
      <c r="B6" s="11"/>
      <c r="C6" s="75" t="s">
        <v>7</v>
      </c>
      <c r="D6" s="76">
        <f>+[9]E.S.P.!D6</f>
        <v>2021</v>
      </c>
      <c r="E6" s="77"/>
      <c r="F6" s="75" t="s">
        <v>8</v>
      </c>
      <c r="G6" s="76">
        <f>+D6</f>
        <v>2021</v>
      </c>
      <c r="H6" s="12"/>
    </row>
    <row r="7" spans="1:9">
      <c r="B7" s="5" t="s">
        <v>9</v>
      </c>
      <c r="C7" s="78" t="s">
        <v>10</v>
      </c>
      <c r="D7" s="79">
        <v>14917743</v>
      </c>
      <c r="E7" s="77" t="s">
        <v>11</v>
      </c>
      <c r="F7" s="80" t="s">
        <v>12</v>
      </c>
      <c r="G7" s="81">
        <v>3010142</v>
      </c>
    </row>
    <row r="8" spans="1:9">
      <c r="B8" s="5" t="s">
        <v>13</v>
      </c>
      <c r="C8" s="78" t="s">
        <v>14</v>
      </c>
      <c r="D8" s="79">
        <v>4577215</v>
      </c>
      <c r="E8" s="77" t="s">
        <v>15</v>
      </c>
      <c r="F8" s="78" t="s">
        <v>16</v>
      </c>
      <c r="G8" s="82">
        <v>14600628</v>
      </c>
    </row>
    <row r="9" spans="1:9">
      <c r="B9" s="5" t="s">
        <v>17</v>
      </c>
      <c r="C9" s="78" t="s">
        <v>18</v>
      </c>
      <c r="D9" s="79">
        <v>911065695</v>
      </c>
      <c r="E9" s="77" t="s">
        <v>19</v>
      </c>
      <c r="F9" s="78" t="s">
        <v>20</v>
      </c>
      <c r="G9" s="79">
        <v>39190060</v>
      </c>
    </row>
    <row r="10" spans="1:9">
      <c r="B10" s="5" t="s">
        <v>21</v>
      </c>
      <c r="C10" s="78" t="s">
        <v>22</v>
      </c>
      <c r="D10" s="79">
        <v>92727643</v>
      </c>
      <c r="E10" s="77" t="s">
        <v>23</v>
      </c>
      <c r="F10" s="78" t="s">
        <v>24</v>
      </c>
      <c r="G10" s="79">
        <v>18960264</v>
      </c>
    </row>
    <row r="11" spans="1:9">
      <c r="B11" s="5" t="s">
        <v>25</v>
      </c>
      <c r="C11" s="78" t="s">
        <v>26</v>
      </c>
      <c r="D11" s="79">
        <v>17118036</v>
      </c>
      <c r="E11" s="77" t="s">
        <v>27</v>
      </c>
      <c r="F11" s="78" t="s">
        <v>28</v>
      </c>
      <c r="G11" s="79">
        <v>148501315</v>
      </c>
    </row>
    <row r="12" spans="1:9">
      <c r="B12" s="5" t="s">
        <v>29</v>
      </c>
      <c r="C12" s="78" t="s">
        <v>30</v>
      </c>
      <c r="D12" s="79">
        <v>11445709</v>
      </c>
      <c r="E12" s="77" t="s">
        <v>31</v>
      </c>
      <c r="F12" s="78" t="s">
        <v>32</v>
      </c>
      <c r="G12" s="79">
        <v>43905814</v>
      </c>
    </row>
    <row r="13" spans="1:9">
      <c r="B13" s="5" t="s">
        <v>33</v>
      </c>
      <c r="C13" s="78" t="s">
        <v>34</v>
      </c>
      <c r="D13" s="79">
        <v>0</v>
      </c>
      <c r="E13" s="77" t="s">
        <v>35</v>
      </c>
      <c r="F13" s="78" t="s">
        <v>36</v>
      </c>
      <c r="G13" s="79">
        <v>700</v>
      </c>
    </row>
    <row r="14" spans="1:9">
      <c r="A14" s="14"/>
      <c r="B14" s="5" t="s">
        <v>37</v>
      </c>
      <c r="C14" s="78" t="s">
        <v>38</v>
      </c>
      <c r="D14" s="79">
        <v>0</v>
      </c>
      <c r="E14" s="77" t="s">
        <v>39</v>
      </c>
      <c r="F14" s="78" t="s">
        <v>40</v>
      </c>
      <c r="G14" s="79">
        <v>57212125</v>
      </c>
    </row>
    <row r="15" spans="1:9">
      <c r="B15" s="5" t="s">
        <v>41</v>
      </c>
      <c r="C15" s="83" t="s">
        <v>42</v>
      </c>
      <c r="D15" s="79">
        <v>0</v>
      </c>
      <c r="E15" s="77" t="s">
        <v>43</v>
      </c>
      <c r="F15" s="78" t="s">
        <v>44</v>
      </c>
      <c r="G15" s="79">
        <v>26628346</v>
      </c>
    </row>
    <row r="16" spans="1:9">
      <c r="B16" s="5" t="s">
        <v>45</v>
      </c>
      <c r="C16" s="78" t="s">
        <v>46</v>
      </c>
      <c r="D16" s="79">
        <v>0</v>
      </c>
      <c r="E16" s="77" t="s">
        <v>47</v>
      </c>
      <c r="F16" s="78" t="s">
        <v>48</v>
      </c>
      <c r="G16" s="79">
        <v>38288117</v>
      </c>
    </row>
    <row r="17" spans="1:7">
      <c r="B17" s="5" t="s">
        <v>49</v>
      </c>
      <c r="C17" s="78" t="s">
        <v>50</v>
      </c>
      <c r="D17" s="79">
        <v>0</v>
      </c>
      <c r="E17" s="77" t="s">
        <v>51</v>
      </c>
      <c r="F17" s="78" t="s">
        <v>52</v>
      </c>
      <c r="G17" s="79">
        <v>0</v>
      </c>
    </row>
    <row r="18" spans="1:7">
      <c r="A18" s="14"/>
      <c r="B18" s="5" t="s">
        <v>53</v>
      </c>
      <c r="C18" s="78" t="s">
        <v>54</v>
      </c>
      <c r="D18" s="79">
        <v>0</v>
      </c>
      <c r="E18" s="77" t="s">
        <v>55</v>
      </c>
      <c r="F18" s="78" t="s">
        <v>56</v>
      </c>
      <c r="G18" s="84">
        <v>13466184</v>
      </c>
    </row>
    <row r="19" spans="1:7" ht="16.5" thickBot="1">
      <c r="A19" s="14"/>
      <c r="B19" s="5" t="s">
        <v>57</v>
      </c>
      <c r="C19" s="78" t="s">
        <v>58</v>
      </c>
      <c r="D19" s="79">
        <v>36600578</v>
      </c>
      <c r="E19" s="77"/>
      <c r="F19" s="85" t="s">
        <v>59</v>
      </c>
      <c r="G19" s="86">
        <f>SUM(G7:G18)</f>
        <v>403763695</v>
      </c>
    </row>
    <row r="20" spans="1:7" ht="16.5" thickBot="1">
      <c r="B20" s="5"/>
      <c r="C20" s="85" t="s">
        <v>60</v>
      </c>
      <c r="D20" s="86">
        <f>SUM(D7:D19)</f>
        <v>1088452619</v>
      </c>
      <c r="E20" s="77" t="s">
        <v>61</v>
      </c>
      <c r="F20" s="80" t="s">
        <v>62</v>
      </c>
      <c r="G20" s="81">
        <v>274852</v>
      </c>
    </row>
    <row r="21" spans="1:7">
      <c r="B21" s="5"/>
      <c r="C21" s="87" t="s">
        <v>63</v>
      </c>
      <c r="D21" s="88">
        <f>SUM(D22:D28)</f>
        <v>1262379</v>
      </c>
      <c r="E21" s="77" t="s">
        <v>64</v>
      </c>
      <c r="F21" s="78" t="s">
        <v>65</v>
      </c>
      <c r="G21" s="79">
        <v>9994789</v>
      </c>
    </row>
    <row r="22" spans="1:7">
      <c r="B22" s="5" t="s">
        <v>66</v>
      </c>
      <c r="C22" s="78" t="s">
        <v>67</v>
      </c>
      <c r="D22" s="79">
        <f>120886</f>
        <v>120886</v>
      </c>
      <c r="E22" s="77" t="s">
        <v>68</v>
      </c>
      <c r="F22" s="78" t="s">
        <v>69</v>
      </c>
      <c r="G22" s="79">
        <v>1806192.71</v>
      </c>
    </row>
    <row r="23" spans="1:7">
      <c r="B23" s="5" t="s">
        <v>70</v>
      </c>
      <c r="C23" s="78" t="s">
        <v>71</v>
      </c>
      <c r="D23" s="79">
        <v>0</v>
      </c>
      <c r="E23" s="77" t="s">
        <v>72</v>
      </c>
      <c r="F23" s="78" t="s">
        <v>73</v>
      </c>
      <c r="G23" s="79">
        <v>4987580.1400000006</v>
      </c>
    </row>
    <row r="24" spans="1:7">
      <c r="B24" s="5" t="s">
        <v>74</v>
      </c>
      <c r="C24" s="78" t="s">
        <v>75</v>
      </c>
      <c r="D24" s="79">
        <v>0</v>
      </c>
      <c r="E24" s="77" t="s">
        <v>76</v>
      </c>
      <c r="F24" s="78" t="s">
        <v>77</v>
      </c>
      <c r="G24" s="79">
        <v>0</v>
      </c>
    </row>
    <row r="25" spans="1:7">
      <c r="B25" s="5" t="s">
        <v>78</v>
      </c>
      <c r="C25" s="78" t="s">
        <v>79</v>
      </c>
      <c r="D25" s="79">
        <v>1094525</v>
      </c>
      <c r="E25" s="77" t="s">
        <v>80</v>
      </c>
      <c r="F25" s="78" t="s">
        <v>81</v>
      </c>
      <c r="G25" s="79">
        <v>3054216</v>
      </c>
    </row>
    <row r="26" spans="1:7">
      <c r="B26" s="5" t="s">
        <v>82</v>
      </c>
      <c r="C26" s="78" t="s">
        <v>83</v>
      </c>
      <c r="D26" s="79">
        <v>0</v>
      </c>
      <c r="E26" s="77" t="s">
        <v>84</v>
      </c>
      <c r="F26" s="78" t="s">
        <v>85</v>
      </c>
      <c r="G26" s="84">
        <v>727872</v>
      </c>
    </row>
    <row r="27" spans="1:7" ht="13.5" customHeight="1" thickBot="1">
      <c r="B27" s="5" t="s">
        <v>86</v>
      </c>
      <c r="C27" s="78" t="s">
        <v>87</v>
      </c>
      <c r="D27" s="79">
        <v>429</v>
      </c>
      <c r="E27" s="77"/>
      <c r="F27" s="85" t="s">
        <v>88</v>
      </c>
      <c r="G27" s="86">
        <f>SUM(G20:G26)</f>
        <v>20845501.850000001</v>
      </c>
    </row>
    <row r="28" spans="1:7">
      <c r="B28" s="5" t="s">
        <v>89</v>
      </c>
      <c r="C28" s="78" t="s">
        <v>90</v>
      </c>
      <c r="D28" s="79">
        <v>46539</v>
      </c>
      <c r="E28" s="77" t="s">
        <v>91</v>
      </c>
      <c r="F28" s="80" t="s">
        <v>92</v>
      </c>
      <c r="G28" s="81">
        <v>107151112</v>
      </c>
    </row>
    <row r="29" spans="1:7">
      <c r="B29" s="5"/>
      <c r="C29" s="89" t="s">
        <v>93</v>
      </c>
      <c r="D29" s="88">
        <f>SUM(D30:D34)</f>
        <v>57988590</v>
      </c>
      <c r="E29" s="77" t="s">
        <v>94</v>
      </c>
      <c r="F29" s="78" t="s">
        <v>95</v>
      </c>
      <c r="G29" s="79">
        <v>27415772</v>
      </c>
    </row>
    <row r="30" spans="1:7">
      <c r="B30" s="5" t="s">
        <v>96</v>
      </c>
      <c r="C30" s="78" t="s">
        <v>97</v>
      </c>
      <c r="D30" s="79">
        <v>40775585</v>
      </c>
      <c r="E30" s="77" t="s">
        <v>98</v>
      </c>
      <c r="F30" s="78" t="s">
        <v>99</v>
      </c>
      <c r="G30" s="79">
        <v>0</v>
      </c>
    </row>
    <row r="31" spans="1:7">
      <c r="B31" s="5" t="s">
        <v>100</v>
      </c>
      <c r="C31" s="78" t="s">
        <v>101</v>
      </c>
      <c r="D31" s="79">
        <v>7678609</v>
      </c>
      <c r="E31" s="77" t="s">
        <v>102</v>
      </c>
      <c r="F31" s="78" t="s">
        <v>103</v>
      </c>
      <c r="G31" s="84">
        <v>1707195</v>
      </c>
    </row>
    <row r="32" spans="1:7" ht="16.5" thickBot="1">
      <c r="B32" s="5" t="s">
        <v>104</v>
      </c>
      <c r="C32" s="78" t="s">
        <v>105</v>
      </c>
      <c r="D32" s="79">
        <v>2034679</v>
      </c>
      <c r="E32" s="77"/>
      <c r="F32" s="85" t="s">
        <v>106</v>
      </c>
      <c r="G32" s="86">
        <f>SUM(G28:G31)</f>
        <v>136274079</v>
      </c>
    </row>
    <row r="33" spans="2:7">
      <c r="B33" s="5" t="s">
        <v>107</v>
      </c>
      <c r="C33" s="78" t="s">
        <v>108</v>
      </c>
      <c r="D33" s="79">
        <v>5636459</v>
      </c>
      <c r="E33" s="77"/>
      <c r="F33" s="89" t="s">
        <v>109</v>
      </c>
      <c r="G33" s="88">
        <f>SUM(G34:G39)</f>
        <v>47728293</v>
      </c>
    </row>
    <row r="34" spans="2:7">
      <c r="B34" s="5" t="s">
        <v>110</v>
      </c>
      <c r="C34" s="78" t="s">
        <v>111</v>
      </c>
      <c r="D34" s="79">
        <v>1863258</v>
      </c>
      <c r="E34" s="77" t="s">
        <v>112</v>
      </c>
      <c r="F34" s="78" t="s">
        <v>113</v>
      </c>
      <c r="G34" s="79">
        <v>1480470.5896414311</v>
      </c>
    </row>
    <row r="35" spans="2:7" ht="16.5" thickBot="1">
      <c r="B35" s="5"/>
      <c r="C35" s="85" t="s">
        <v>114</v>
      </c>
      <c r="D35" s="86">
        <f>+D21+D29</f>
        <v>59250969</v>
      </c>
      <c r="E35" s="77" t="s">
        <v>115</v>
      </c>
      <c r="F35" s="78" t="s">
        <v>116</v>
      </c>
      <c r="G35" s="79">
        <v>5042951.4067706456</v>
      </c>
    </row>
    <row r="36" spans="2:7">
      <c r="B36" s="5" t="s">
        <v>117</v>
      </c>
      <c r="C36" s="78" t="s">
        <v>118</v>
      </c>
      <c r="D36" s="79">
        <v>0</v>
      </c>
      <c r="E36" s="77" t="s">
        <v>119</v>
      </c>
      <c r="F36" s="78" t="s">
        <v>517</v>
      </c>
      <c r="G36" s="79">
        <v>2817175.6731434562</v>
      </c>
    </row>
    <row r="37" spans="2:7">
      <c r="B37" s="5" t="s">
        <v>120</v>
      </c>
      <c r="C37" s="78" t="s">
        <v>121</v>
      </c>
      <c r="D37" s="79">
        <v>0</v>
      </c>
      <c r="E37" s="77" t="s">
        <v>122</v>
      </c>
      <c r="F37" s="78" t="s">
        <v>123</v>
      </c>
      <c r="G37" s="79">
        <v>3906152.9398254063</v>
      </c>
    </row>
    <row r="38" spans="2:7">
      <c r="B38" s="5" t="s">
        <v>124</v>
      </c>
      <c r="C38" s="78" t="s">
        <v>125</v>
      </c>
      <c r="D38" s="79">
        <v>0</v>
      </c>
      <c r="E38" s="77" t="s">
        <v>126</v>
      </c>
      <c r="F38" s="78" t="s">
        <v>127</v>
      </c>
      <c r="G38" s="79">
        <v>6785675.5456146263</v>
      </c>
    </row>
    <row r="39" spans="2:7">
      <c r="B39" s="5" t="s">
        <v>128</v>
      </c>
      <c r="C39" s="78" t="s">
        <v>129</v>
      </c>
      <c r="D39" s="79">
        <v>0</v>
      </c>
      <c r="E39" s="77" t="s">
        <v>130</v>
      </c>
      <c r="F39" s="78" t="s">
        <v>131</v>
      </c>
      <c r="G39" s="79">
        <v>27695866.845004432</v>
      </c>
    </row>
    <row r="40" spans="2:7">
      <c r="B40" s="5" t="s">
        <v>132</v>
      </c>
      <c r="C40" s="78" t="s">
        <v>133</v>
      </c>
      <c r="D40" s="79">
        <v>0</v>
      </c>
      <c r="E40" s="77"/>
      <c r="F40" s="90" t="s">
        <v>134</v>
      </c>
      <c r="G40" s="91">
        <f>SUM(G41:G46)</f>
        <v>1438395.0000000002</v>
      </c>
    </row>
    <row r="41" spans="2:7">
      <c r="B41" s="5" t="s">
        <v>135</v>
      </c>
      <c r="C41" s="78" t="s">
        <v>136</v>
      </c>
      <c r="D41" s="79">
        <v>0</v>
      </c>
      <c r="E41" s="77" t="s">
        <v>137</v>
      </c>
      <c r="F41" s="78" t="s">
        <v>138</v>
      </c>
      <c r="G41" s="79">
        <v>65865.132114335065</v>
      </c>
    </row>
    <row r="42" spans="2:7">
      <c r="B42" s="5" t="s">
        <v>139</v>
      </c>
      <c r="C42" s="78" t="s">
        <v>140</v>
      </c>
      <c r="D42" s="79">
        <v>0</v>
      </c>
      <c r="E42" s="77" t="s">
        <v>141</v>
      </c>
      <c r="F42" s="78" t="s">
        <v>142</v>
      </c>
      <c r="G42" s="79">
        <v>0</v>
      </c>
    </row>
    <row r="43" spans="2:7">
      <c r="B43" s="5" t="s">
        <v>143</v>
      </c>
      <c r="C43" s="78" t="s">
        <v>144</v>
      </c>
      <c r="D43" s="79">
        <v>0</v>
      </c>
      <c r="E43" s="77" t="s">
        <v>145</v>
      </c>
      <c r="F43" s="78" t="s">
        <v>146</v>
      </c>
      <c r="G43" s="79">
        <v>355740.62474474002</v>
      </c>
    </row>
    <row r="44" spans="2:7">
      <c r="B44" s="5" t="s">
        <v>147</v>
      </c>
      <c r="C44" s="78" t="s">
        <v>148</v>
      </c>
      <c r="D44" s="79">
        <v>0</v>
      </c>
      <c r="E44" s="77" t="s">
        <v>149</v>
      </c>
      <c r="F44" s="78" t="s">
        <v>150</v>
      </c>
      <c r="G44" s="79">
        <v>270519.38810571068</v>
      </c>
    </row>
    <row r="45" spans="2:7">
      <c r="B45" s="5" t="s">
        <v>151</v>
      </c>
      <c r="C45" s="78" t="s">
        <v>152</v>
      </c>
      <c r="D45" s="79">
        <v>10966048</v>
      </c>
      <c r="E45" s="77" t="s">
        <v>153</v>
      </c>
      <c r="F45" s="78" t="s">
        <v>154</v>
      </c>
      <c r="G45" s="79">
        <v>429715.43614253256</v>
      </c>
    </row>
    <row r="46" spans="2:7">
      <c r="B46" s="5" t="s">
        <v>155</v>
      </c>
      <c r="C46" s="78" t="s">
        <v>156</v>
      </c>
      <c r="D46" s="79">
        <v>374640</v>
      </c>
      <c r="E46" s="77" t="s">
        <v>157</v>
      </c>
      <c r="F46" s="78" t="s">
        <v>158</v>
      </c>
      <c r="G46" s="79">
        <v>316554.41889268189</v>
      </c>
    </row>
    <row r="47" spans="2:7" ht="16.5" thickBot="1">
      <c r="B47" s="5"/>
      <c r="C47" s="85" t="s">
        <v>159</v>
      </c>
      <c r="D47" s="86">
        <f>SUM(D36:D46)</f>
        <v>11340688</v>
      </c>
      <c r="E47" s="77" t="s">
        <v>160</v>
      </c>
      <c r="F47" s="78" t="s">
        <v>161</v>
      </c>
      <c r="G47" s="84">
        <v>1695456</v>
      </c>
    </row>
    <row r="48" spans="2:7" ht="16.5" thickBot="1">
      <c r="B48" s="5"/>
      <c r="C48" s="92" t="s">
        <v>162</v>
      </c>
      <c r="D48" s="93"/>
      <c r="E48" s="77"/>
      <c r="F48" s="85" t="s">
        <v>163</v>
      </c>
      <c r="G48" s="94">
        <f>+G33+G40+G47</f>
        <v>50862144</v>
      </c>
    </row>
    <row r="49" spans="2:7">
      <c r="B49" s="5" t="s">
        <v>164</v>
      </c>
      <c r="C49" s="95" t="s">
        <v>165</v>
      </c>
      <c r="D49" s="96">
        <v>0</v>
      </c>
      <c r="E49" s="77" t="s">
        <v>166</v>
      </c>
      <c r="F49" s="80" t="s">
        <v>167</v>
      </c>
      <c r="G49" s="81">
        <v>0</v>
      </c>
    </row>
    <row r="50" spans="2:7">
      <c r="B50" s="5" t="s">
        <v>168</v>
      </c>
      <c r="C50" s="78" t="s">
        <v>162</v>
      </c>
      <c r="D50" s="79">
        <v>0</v>
      </c>
      <c r="E50" s="77" t="s">
        <v>169</v>
      </c>
      <c r="F50" s="78" t="s">
        <v>170</v>
      </c>
      <c r="G50" s="79">
        <v>6912030</v>
      </c>
    </row>
    <row r="51" spans="2:7">
      <c r="B51" s="5" t="s">
        <v>171</v>
      </c>
      <c r="C51" s="78" t="s">
        <v>172</v>
      </c>
      <c r="D51" s="84">
        <v>0</v>
      </c>
      <c r="E51" s="77" t="s">
        <v>173</v>
      </c>
      <c r="F51" s="78" t="s">
        <v>174</v>
      </c>
      <c r="G51" s="79">
        <v>0</v>
      </c>
    </row>
    <row r="52" spans="2:7" ht="16.5" thickBot="1">
      <c r="B52" s="11"/>
      <c r="C52" s="85" t="s">
        <v>175</v>
      </c>
      <c r="D52" s="86">
        <f>SUM(D49:D51)</f>
        <v>0</v>
      </c>
      <c r="E52" s="77" t="s">
        <v>176</v>
      </c>
      <c r="F52" s="78" t="s">
        <v>177</v>
      </c>
      <c r="G52" s="79">
        <v>0</v>
      </c>
    </row>
    <row r="53" spans="2:7" ht="16.5" thickBot="1">
      <c r="B53" s="5"/>
      <c r="C53" s="75" t="s">
        <v>178</v>
      </c>
      <c r="D53" s="97">
        <f>D20+D35+D47+D52</f>
        <v>1159044276</v>
      </c>
      <c r="E53" s="77" t="s">
        <v>179</v>
      </c>
      <c r="F53" s="78" t="s">
        <v>180</v>
      </c>
      <c r="G53" s="79">
        <v>96267</v>
      </c>
    </row>
    <row r="54" spans="2:7">
      <c r="C54" s="98"/>
      <c r="D54" s="99"/>
      <c r="E54" s="77" t="s">
        <v>181</v>
      </c>
      <c r="F54" s="78" t="s">
        <v>182</v>
      </c>
      <c r="G54" s="79">
        <v>7232</v>
      </c>
    </row>
    <row r="55" spans="2:7">
      <c r="C55" s="100" t="s">
        <v>183</v>
      </c>
      <c r="D55" s="101"/>
      <c r="E55" s="77" t="s">
        <v>184</v>
      </c>
      <c r="F55" s="78" t="s">
        <v>185</v>
      </c>
      <c r="G55" s="79">
        <v>9198</v>
      </c>
    </row>
    <row r="56" spans="2:7">
      <c r="B56" s="5" t="s">
        <v>186</v>
      </c>
      <c r="C56" s="102" t="s">
        <v>187</v>
      </c>
      <c r="D56" s="79"/>
      <c r="E56" s="77" t="s">
        <v>188</v>
      </c>
      <c r="F56" s="78" t="s">
        <v>189</v>
      </c>
      <c r="G56" s="84">
        <v>261837</v>
      </c>
    </row>
    <row r="57" spans="2:7" ht="14.25" customHeight="1" thickBot="1">
      <c r="B57" s="5" t="s">
        <v>190</v>
      </c>
      <c r="C57" s="102" t="s">
        <v>191</v>
      </c>
      <c r="D57" s="79"/>
      <c r="E57" s="77"/>
      <c r="F57" s="85" t="s">
        <v>192</v>
      </c>
      <c r="G57" s="86">
        <f>SUM(G49:G56)</f>
        <v>7286564</v>
      </c>
    </row>
    <row r="58" spans="2:7">
      <c r="B58" s="5" t="s">
        <v>193</v>
      </c>
      <c r="C58" s="102" t="s">
        <v>194</v>
      </c>
      <c r="D58" s="79"/>
      <c r="E58" s="77" t="s">
        <v>195</v>
      </c>
      <c r="F58" s="80" t="s">
        <v>196</v>
      </c>
      <c r="G58" s="81">
        <v>0</v>
      </c>
    </row>
    <row r="59" spans="2:7">
      <c r="B59" s="5" t="s">
        <v>197</v>
      </c>
      <c r="C59" s="78" t="s">
        <v>198</v>
      </c>
      <c r="D59" s="84"/>
      <c r="E59" s="77" t="s">
        <v>199</v>
      </c>
      <c r="F59" s="78" t="s">
        <v>200</v>
      </c>
      <c r="G59" s="79">
        <f>156450509.68+198127.59+12249776.66</f>
        <v>168898413.93000001</v>
      </c>
    </row>
    <row r="60" spans="2:7" ht="16.5" thickBot="1">
      <c r="B60" s="5"/>
      <c r="C60" s="85" t="s">
        <v>201</v>
      </c>
      <c r="D60" s="86">
        <f>SUM(D56:D59)</f>
        <v>0</v>
      </c>
      <c r="E60" s="77" t="s">
        <v>202</v>
      </c>
      <c r="F60" s="78" t="s">
        <v>203</v>
      </c>
      <c r="G60" s="79">
        <v>57084766</v>
      </c>
    </row>
    <row r="61" spans="2:7" ht="16.5" thickBot="1">
      <c r="B61" s="15"/>
      <c r="C61" s="72" t="s">
        <v>204</v>
      </c>
      <c r="D61" s="103">
        <f>D53+D60</f>
        <v>1159044276</v>
      </c>
      <c r="E61" s="77" t="s">
        <v>205</v>
      </c>
      <c r="F61" s="78" t="s">
        <v>206</v>
      </c>
      <c r="G61" s="79">
        <v>8813739</v>
      </c>
    </row>
    <row r="62" spans="2:7">
      <c r="B62" s="16"/>
      <c r="C62" s="104"/>
      <c r="D62" s="104"/>
      <c r="E62" s="77" t="s">
        <v>207</v>
      </c>
      <c r="F62" s="78" t="s">
        <v>208</v>
      </c>
      <c r="G62" s="79">
        <v>0</v>
      </c>
    </row>
    <row r="63" spans="2:7">
      <c r="B63" s="17"/>
      <c r="C63" s="105" t="s">
        <v>8</v>
      </c>
      <c r="D63" s="105"/>
      <c r="E63" s="77" t="s">
        <v>209</v>
      </c>
      <c r="F63" s="78" t="s">
        <v>210</v>
      </c>
      <c r="G63" s="79">
        <v>7412204</v>
      </c>
    </row>
    <row r="64" spans="2:7">
      <c r="B64" s="18" t="s">
        <v>211</v>
      </c>
      <c r="C64" s="106" t="s">
        <v>212</v>
      </c>
      <c r="D64" s="106">
        <f>[9]Amortizaciones!D6</f>
        <v>9719073</v>
      </c>
      <c r="E64" s="77" t="s">
        <v>213</v>
      </c>
      <c r="F64" s="78" t="s">
        <v>214</v>
      </c>
      <c r="G64" s="79">
        <v>4733550</v>
      </c>
    </row>
    <row r="65" spans="2:7">
      <c r="B65" s="18" t="s">
        <v>215</v>
      </c>
      <c r="C65" s="106" t="s">
        <v>216</v>
      </c>
      <c r="D65" s="106">
        <f>[9]Amortizaciones!D7</f>
        <v>0</v>
      </c>
      <c r="E65" s="77" t="s">
        <v>217</v>
      </c>
      <c r="F65" s="78" t="s">
        <v>218</v>
      </c>
      <c r="G65" s="79">
        <v>26694</v>
      </c>
    </row>
    <row r="66" spans="2:7">
      <c r="B66" s="18" t="s">
        <v>219</v>
      </c>
      <c r="C66" s="106" t="s">
        <v>220</v>
      </c>
      <c r="D66" s="106">
        <f>[9]Amortizaciones!D8</f>
        <v>1708894</v>
      </c>
      <c r="E66" s="77" t="s">
        <v>221</v>
      </c>
      <c r="F66" s="78" t="s">
        <v>222</v>
      </c>
      <c r="G66" s="79">
        <v>2728473</v>
      </c>
    </row>
    <row r="67" spans="2:7">
      <c r="B67" s="18" t="s">
        <v>223</v>
      </c>
      <c r="C67" s="106" t="s">
        <v>224</v>
      </c>
      <c r="D67" s="106">
        <f>[9]Amortizaciones!D9</f>
        <v>0</v>
      </c>
      <c r="E67" s="77" t="s">
        <v>225</v>
      </c>
      <c r="F67" s="78" t="s">
        <v>226</v>
      </c>
      <c r="G67" s="79">
        <v>2059736</v>
      </c>
    </row>
    <row r="68" spans="2:7">
      <c r="B68" s="18" t="s">
        <v>227</v>
      </c>
      <c r="C68" s="106" t="s">
        <v>228</v>
      </c>
      <c r="D68" s="106">
        <f>[9]Amortizaciones!D10</f>
        <v>237286</v>
      </c>
      <c r="E68" s="77" t="s">
        <v>229</v>
      </c>
      <c r="F68" s="78" t="s">
        <v>230</v>
      </c>
      <c r="G68" s="79">
        <v>0</v>
      </c>
    </row>
    <row r="69" spans="2:7">
      <c r="B69" s="18" t="s">
        <v>231</v>
      </c>
      <c r="C69" s="106" t="s">
        <v>232</v>
      </c>
      <c r="D69" s="106">
        <f>[9]Amortizaciones!D11</f>
        <v>398587</v>
      </c>
      <c r="E69" s="77" t="s">
        <v>233</v>
      </c>
      <c r="F69" s="78" t="s">
        <v>234</v>
      </c>
      <c r="G69" s="79">
        <v>6927012</v>
      </c>
    </row>
    <row r="70" spans="2:7">
      <c r="B70" s="18" t="s">
        <v>235</v>
      </c>
      <c r="C70" s="106" t="s">
        <v>236</v>
      </c>
      <c r="D70" s="106">
        <f>[9]Amortizaciones!D12</f>
        <v>1776159</v>
      </c>
      <c r="E70" s="77" t="s">
        <v>237</v>
      </c>
      <c r="F70" s="78" t="s">
        <v>238</v>
      </c>
      <c r="G70" s="79">
        <f>324249.47+193979.83</f>
        <v>518229.29999999993</v>
      </c>
    </row>
    <row r="71" spans="2:7">
      <c r="B71" s="18" t="s">
        <v>239</v>
      </c>
      <c r="C71" s="106" t="s">
        <v>240</v>
      </c>
      <c r="D71" s="106">
        <f>[9]Amortizaciones!D13</f>
        <v>0</v>
      </c>
      <c r="E71" s="77" t="s">
        <v>241</v>
      </c>
      <c r="F71" s="78" t="s">
        <v>242</v>
      </c>
      <c r="G71" s="79">
        <v>0</v>
      </c>
    </row>
    <row r="72" spans="2:7">
      <c r="B72" s="18" t="s">
        <v>243</v>
      </c>
      <c r="C72" s="106" t="s">
        <v>244</v>
      </c>
      <c r="D72" s="106">
        <f>[9]Amortizaciones!D14</f>
        <v>893955</v>
      </c>
      <c r="E72" s="77" t="s">
        <v>245</v>
      </c>
      <c r="F72" s="78" t="s">
        <v>246</v>
      </c>
      <c r="G72" s="79">
        <v>0</v>
      </c>
    </row>
    <row r="73" spans="2:7">
      <c r="B73" s="18" t="s">
        <v>247</v>
      </c>
      <c r="C73" s="106" t="s">
        <v>248</v>
      </c>
      <c r="D73" s="106">
        <f>[9]Amortizaciones!D15</f>
        <v>59687</v>
      </c>
      <c r="E73" s="77" t="s">
        <v>249</v>
      </c>
      <c r="F73" s="78" t="s">
        <v>250</v>
      </c>
      <c r="G73" s="79">
        <v>0</v>
      </c>
    </row>
    <row r="74" spans="2:7">
      <c r="B74" s="18" t="s">
        <v>251</v>
      </c>
      <c r="C74" s="106" t="s">
        <v>252</v>
      </c>
      <c r="D74" s="106">
        <f>[9]Amortizaciones!D16</f>
        <v>554634</v>
      </c>
      <c r="E74" s="77" t="s">
        <v>253</v>
      </c>
      <c r="F74" s="78" t="s">
        <v>254</v>
      </c>
      <c r="G74" s="79">
        <v>1392842</v>
      </c>
    </row>
    <row r="75" spans="2:7">
      <c r="B75" s="18" t="s">
        <v>255</v>
      </c>
      <c r="C75" s="106" t="s">
        <v>256</v>
      </c>
      <c r="D75" s="106">
        <f>[9]Amortizaciones!D17</f>
        <v>0</v>
      </c>
      <c r="E75" s="77" t="s">
        <v>257</v>
      </c>
      <c r="F75" s="78" t="s">
        <v>258</v>
      </c>
      <c r="G75" s="79">
        <v>4072250</v>
      </c>
    </row>
    <row r="76" spans="2:7">
      <c r="B76" s="18" t="s">
        <v>259</v>
      </c>
      <c r="C76" s="106" t="s">
        <v>260</v>
      </c>
      <c r="D76" s="106">
        <f>[9]Amortizaciones!D18</f>
        <v>0</v>
      </c>
      <c r="E76" s="77" t="s">
        <v>261</v>
      </c>
      <c r="F76" s="78" t="s">
        <v>262</v>
      </c>
      <c r="G76" s="79">
        <v>47473413</v>
      </c>
    </row>
    <row r="77" spans="2:7">
      <c r="B77" s="18" t="s">
        <v>263</v>
      </c>
      <c r="C77" s="106" t="s">
        <v>264</v>
      </c>
      <c r="D77" s="106">
        <f>SUM(D64:D76)</f>
        <v>15348275</v>
      </c>
      <c r="E77" s="77" t="s">
        <v>265</v>
      </c>
      <c r="F77" s="78" t="s">
        <v>266</v>
      </c>
      <c r="G77" s="79">
        <f>12189693+244518+6</f>
        <v>12434217</v>
      </c>
    </row>
    <row r="78" spans="2:7">
      <c r="B78" s="18"/>
      <c r="C78" s="106"/>
      <c r="D78" s="106"/>
      <c r="E78" s="77" t="s">
        <v>267</v>
      </c>
      <c r="F78" s="78" t="s">
        <v>268</v>
      </c>
      <c r="G78" s="84">
        <v>13063367</v>
      </c>
    </row>
    <row r="79" spans="2:7" ht="16.5" thickBot="1">
      <c r="B79" s="18"/>
      <c r="C79" s="105" t="s">
        <v>269</v>
      </c>
      <c r="D79" s="107"/>
      <c r="E79" s="77"/>
      <c r="F79" s="85" t="s">
        <v>270</v>
      </c>
      <c r="G79" s="86">
        <f>SUM(G58:G78)</f>
        <v>337638906.23000002</v>
      </c>
    </row>
    <row r="80" spans="2:7">
      <c r="B80" s="18" t="s">
        <v>271</v>
      </c>
      <c r="C80" s="106" t="s">
        <v>236</v>
      </c>
      <c r="D80" s="106">
        <f>[9]Amortizaciones!D22</f>
        <v>93482</v>
      </c>
      <c r="E80" s="77" t="s">
        <v>272</v>
      </c>
      <c r="F80" s="80" t="s">
        <v>273</v>
      </c>
      <c r="G80" s="81">
        <v>0</v>
      </c>
    </row>
    <row r="81" spans="2:7">
      <c r="B81" s="18" t="s">
        <v>274</v>
      </c>
      <c r="C81" s="106" t="s">
        <v>240</v>
      </c>
      <c r="D81" s="106">
        <f>[9]Amortizaciones!D23</f>
        <v>0</v>
      </c>
      <c r="E81" s="77" t="s">
        <v>275</v>
      </c>
      <c r="F81" s="78" t="s">
        <v>276</v>
      </c>
      <c r="G81" s="79">
        <v>4422214</v>
      </c>
    </row>
    <row r="82" spans="2:7">
      <c r="B82" s="18" t="s">
        <v>277</v>
      </c>
      <c r="C82" s="106" t="s">
        <v>244</v>
      </c>
      <c r="D82" s="106">
        <f>[9]Amortizaciones!D24</f>
        <v>47051</v>
      </c>
      <c r="E82" s="77" t="s">
        <v>278</v>
      </c>
      <c r="F82" s="78" t="s">
        <v>279</v>
      </c>
      <c r="G82" s="79">
        <v>115094.7135</v>
      </c>
    </row>
    <row r="83" spans="2:7">
      <c r="B83" s="18" t="s">
        <v>280</v>
      </c>
      <c r="C83" s="106" t="s">
        <v>248</v>
      </c>
      <c r="D83" s="106">
        <f>[9]Amortizaciones!D25</f>
        <v>3140</v>
      </c>
      <c r="E83" s="77" t="s">
        <v>281</v>
      </c>
      <c r="F83" s="78" t="s">
        <v>282</v>
      </c>
      <c r="G83" s="79">
        <v>1162900</v>
      </c>
    </row>
    <row r="84" spans="2:7">
      <c r="B84" s="18" t="s">
        <v>283</v>
      </c>
      <c r="C84" s="106" t="s">
        <v>284</v>
      </c>
      <c r="D84" s="106">
        <v>0</v>
      </c>
      <c r="E84" s="77" t="s">
        <v>285</v>
      </c>
      <c r="F84" s="78" t="s">
        <v>286</v>
      </c>
      <c r="G84" s="79">
        <v>2429199</v>
      </c>
    </row>
    <row r="85" spans="2:7">
      <c r="B85" s="18" t="s">
        <v>287</v>
      </c>
      <c r="C85" s="106" t="s">
        <v>288</v>
      </c>
      <c r="D85" s="106">
        <f>[9]Amortizaciones!D27</f>
        <v>0</v>
      </c>
      <c r="E85" s="77" t="s">
        <v>289</v>
      </c>
      <c r="F85" s="78" t="s">
        <v>290</v>
      </c>
      <c r="G85" s="79">
        <v>4271435</v>
      </c>
    </row>
    <row r="86" spans="2:7" ht="13.5" customHeight="1">
      <c r="B86" s="18" t="s">
        <v>291</v>
      </c>
      <c r="C86" s="106" t="s">
        <v>292</v>
      </c>
      <c r="D86" s="106">
        <f>[9]Amortizaciones!D28</f>
        <v>0</v>
      </c>
      <c r="E86" s="77" t="s">
        <v>293</v>
      </c>
      <c r="F86" s="78" t="s">
        <v>294</v>
      </c>
      <c r="G86" s="79">
        <v>78044</v>
      </c>
    </row>
    <row r="87" spans="2:7" ht="13.5" customHeight="1">
      <c r="B87" s="18" t="s">
        <v>295</v>
      </c>
      <c r="C87" s="106" t="s">
        <v>296</v>
      </c>
      <c r="D87" s="106">
        <f>[9]Amortizaciones!D29</f>
        <v>0</v>
      </c>
      <c r="E87" s="77" t="s">
        <v>297</v>
      </c>
      <c r="F87" s="78" t="s">
        <v>298</v>
      </c>
      <c r="G87" s="79">
        <v>1600050.1350000002</v>
      </c>
    </row>
    <row r="88" spans="2:7" ht="13.5" customHeight="1">
      <c r="B88" s="18" t="s">
        <v>299</v>
      </c>
      <c r="C88" s="106" t="s">
        <v>300</v>
      </c>
      <c r="D88" s="106">
        <f>[9]Amortizaciones!D30</f>
        <v>29191</v>
      </c>
      <c r="E88" s="77" t="s">
        <v>301</v>
      </c>
      <c r="F88" s="78" t="s">
        <v>302</v>
      </c>
      <c r="G88" s="79">
        <v>0</v>
      </c>
    </row>
    <row r="89" spans="2:7">
      <c r="B89" s="18" t="s">
        <v>303</v>
      </c>
      <c r="C89" s="106" t="s">
        <v>212</v>
      </c>
      <c r="D89" s="106">
        <f>[9]Amortizaciones!D31</f>
        <v>0</v>
      </c>
      <c r="E89" s="77" t="s">
        <v>304</v>
      </c>
      <c r="F89" s="78" t="s">
        <v>305</v>
      </c>
      <c r="G89" s="79">
        <v>28570931</v>
      </c>
    </row>
    <row r="90" spans="2:7" ht="14.25" customHeight="1">
      <c r="B90" s="18" t="s">
        <v>306</v>
      </c>
      <c r="C90" s="106" t="s">
        <v>228</v>
      </c>
      <c r="D90" s="106">
        <f>[9]Amortizaciones!D32</f>
        <v>0</v>
      </c>
      <c r="E90" s="77" t="s">
        <v>307</v>
      </c>
      <c r="F90" s="78" t="s">
        <v>308</v>
      </c>
      <c r="G90" s="79">
        <v>8060332</v>
      </c>
    </row>
    <row r="91" spans="2:7" ht="14.25" customHeight="1">
      <c r="B91" s="18" t="s">
        <v>309</v>
      </c>
      <c r="C91" s="106" t="s">
        <v>310</v>
      </c>
      <c r="D91" s="106">
        <f>SUM(D80:D90)</f>
        <v>172864</v>
      </c>
      <c r="E91" s="108" t="s">
        <v>311</v>
      </c>
      <c r="F91" s="78" t="s">
        <v>312</v>
      </c>
      <c r="G91" s="79">
        <v>0</v>
      </c>
    </row>
    <row r="92" spans="2:7" ht="14.25" customHeight="1">
      <c r="B92" s="18"/>
      <c r="C92" s="109" t="s">
        <v>313</v>
      </c>
      <c r="D92" s="106">
        <f>D77+D91</f>
        <v>15521139</v>
      </c>
      <c r="E92" s="108" t="s">
        <v>314</v>
      </c>
      <c r="F92" s="78" t="s">
        <v>315</v>
      </c>
      <c r="G92" s="79">
        <v>0</v>
      </c>
    </row>
    <row r="93" spans="2:7">
      <c r="C93" s="104"/>
      <c r="D93" s="104"/>
      <c r="E93" s="108" t="s">
        <v>316</v>
      </c>
      <c r="F93" s="78" t="s">
        <v>317</v>
      </c>
      <c r="G93" s="79">
        <v>0</v>
      </c>
    </row>
    <row r="94" spans="2:7">
      <c r="C94" s="104"/>
      <c r="D94" s="104"/>
      <c r="E94" s="108" t="s">
        <v>318</v>
      </c>
      <c r="F94" s="78" t="s">
        <v>319</v>
      </c>
      <c r="G94" s="84">
        <v>463496</v>
      </c>
    </row>
    <row r="95" spans="2:7" ht="13.5" customHeight="1" thickBot="1">
      <c r="C95" s="104"/>
      <c r="D95" s="104"/>
      <c r="E95" s="77"/>
      <c r="F95" s="85" t="s">
        <v>320</v>
      </c>
      <c r="G95" s="86">
        <f>SUM(G80:G94)</f>
        <v>51173695.848499998</v>
      </c>
    </row>
    <row r="96" spans="2:7">
      <c r="C96" s="104"/>
      <c r="D96" s="104"/>
      <c r="E96" s="108" t="s">
        <v>321</v>
      </c>
      <c r="F96" s="80" t="s">
        <v>322</v>
      </c>
      <c r="G96" s="81">
        <v>1007341</v>
      </c>
    </row>
    <row r="97" spans="2:7">
      <c r="C97" s="104"/>
      <c r="D97" s="104"/>
      <c r="E97" s="108" t="s">
        <v>323</v>
      </c>
      <c r="F97" s="78" t="s">
        <v>324</v>
      </c>
      <c r="G97" s="79">
        <v>285546</v>
      </c>
    </row>
    <row r="98" spans="2:7">
      <c r="C98" s="104"/>
      <c r="D98" s="104"/>
      <c r="E98" s="108" t="s">
        <v>325</v>
      </c>
      <c r="F98" s="78" t="s">
        <v>326</v>
      </c>
      <c r="G98" s="79">
        <v>0</v>
      </c>
    </row>
    <row r="99" spans="2:7">
      <c r="C99" s="104"/>
      <c r="D99" s="104"/>
      <c r="E99" s="108" t="s">
        <v>327</v>
      </c>
      <c r="F99" s="78" t="s">
        <v>328</v>
      </c>
      <c r="G99" s="79">
        <v>3873911</v>
      </c>
    </row>
    <row r="100" spans="2:7">
      <c r="C100" s="104"/>
      <c r="D100" s="104"/>
      <c r="E100" s="108" t="s">
        <v>329</v>
      </c>
      <c r="F100" s="78" t="s">
        <v>330</v>
      </c>
      <c r="G100" s="84">
        <v>175985</v>
      </c>
    </row>
    <row r="101" spans="2:7" ht="12.75" customHeight="1" thickBot="1">
      <c r="C101" s="104"/>
      <c r="D101" s="104"/>
      <c r="E101" s="77"/>
      <c r="F101" s="85" t="s">
        <v>331</v>
      </c>
      <c r="G101" s="86">
        <f>SUM(G96:G100)</f>
        <v>5342783</v>
      </c>
    </row>
    <row r="102" spans="2:7" ht="12.75" customHeight="1" thickBot="1">
      <c r="C102" s="104"/>
      <c r="D102" s="104"/>
      <c r="E102" s="108"/>
      <c r="F102" s="110" t="s">
        <v>332</v>
      </c>
      <c r="G102" s="111">
        <f>[9]Amortizaciones!D19</f>
        <v>15348275</v>
      </c>
    </row>
    <row r="103" spans="2:7">
      <c r="C103" s="104"/>
      <c r="D103" s="104"/>
      <c r="E103" s="108" t="s">
        <v>333</v>
      </c>
      <c r="F103" s="78" t="s">
        <v>334</v>
      </c>
      <c r="G103" s="81">
        <v>0</v>
      </c>
    </row>
    <row r="104" spans="2:7">
      <c r="C104" s="104"/>
      <c r="D104" s="104"/>
      <c r="E104" s="108" t="s">
        <v>335</v>
      </c>
      <c r="F104" s="112" t="s">
        <v>336</v>
      </c>
      <c r="G104" s="79">
        <v>0</v>
      </c>
    </row>
    <row r="105" spans="2:7" ht="14.25" customHeight="1" thickBot="1">
      <c r="C105" s="104"/>
      <c r="D105" s="104"/>
      <c r="E105" s="77"/>
      <c r="F105" s="85" t="s">
        <v>337</v>
      </c>
      <c r="G105" s="86">
        <f>SUM(G103:G104)</f>
        <v>0</v>
      </c>
    </row>
    <row r="106" spans="2:7" ht="14.25" customHeight="1" thickBot="1">
      <c r="B106" s="5"/>
      <c r="C106" s="113"/>
      <c r="D106" s="113"/>
      <c r="E106" s="108"/>
      <c r="F106" s="72" t="s">
        <v>338</v>
      </c>
      <c r="G106" s="103">
        <f>G19+G27+G32+G48+G57+G79+G95+G101+G102+G105</f>
        <v>1028535643.9285001</v>
      </c>
    </row>
    <row r="107" spans="2:7" ht="5.25" customHeight="1">
      <c r="B107" s="5"/>
      <c r="C107" s="113"/>
      <c r="D107" s="113"/>
      <c r="E107" s="77"/>
      <c r="F107" s="114"/>
      <c r="G107" s="115"/>
    </row>
    <row r="108" spans="2:7" ht="5.25" customHeight="1" thickBot="1">
      <c r="B108" s="5"/>
      <c r="C108" s="113"/>
      <c r="D108" s="113"/>
      <c r="E108" s="77"/>
      <c r="F108" s="116"/>
      <c r="G108" s="116"/>
    </row>
    <row r="109" spans="2:7" ht="16.5" customHeight="1" thickBot="1">
      <c r="B109" s="5"/>
      <c r="C109" s="113"/>
      <c r="D109" s="113"/>
      <c r="E109" s="77"/>
      <c r="F109" s="72" t="s">
        <v>339</v>
      </c>
      <c r="G109" s="103">
        <f>D61-G106</f>
        <v>130508632.07149994</v>
      </c>
    </row>
    <row r="110" spans="2:7" ht="6.75" customHeight="1" thickBot="1">
      <c r="B110" s="5"/>
      <c r="C110" s="117"/>
      <c r="D110" s="117"/>
      <c r="E110" s="77"/>
      <c r="F110" s="116"/>
      <c r="G110" s="116"/>
    </row>
    <row r="111" spans="2:7" ht="15" customHeight="1" thickBot="1">
      <c r="C111" s="72" t="s">
        <v>269</v>
      </c>
      <c r="D111" s="118">
        <f>+[9]E.S.P.!D6</f>
        <v>2021</v>
      </c>
      <c r="E111" s="108"/>
      <c r="F111" s="72" t="s">
        <v>340</v>
      </c>
      <c r="G111" s="118">
        <f>+[9]E.S.P.!D6</f>
        <v>2021</v>
      </c>
    </row>
    <row r="112" spans="2:7" ht="13.7" customHeight="1">
      <c r="B112" s="5" t="s">
        <v>341</v>
      </c>
      <c r="C112" s="119" t="s">
        <v>342</v>
      </c>
      <c r="D112" s="120">
        <v>4977826</v>
      </c>
      <c r="E112" s="77" t="s">
        <v>343</v>
      </c>
      <c r="F112" s="119" t="s">
        <v>308</v>
      </c>
      <c r="G112" s="120">
        <v>0</v>
      </c>
    </row>
    <row r="113" spans="2:7" ht="13.7" customHeight="1">
      <c r="B113" s="5" t="s">
        <v>344</v>
      </c>
      <c r="C113" s="121" t="s">
        <v>345</v>
      </c>
      <c r="D113" s="122">
        <v>69755976</v>
      </c>
      <c r="E113" s="77" t="s">
        <v>346</v>
      </c>
      <c r="F113" s="121" t="s">
        <v>347</v>
      </c>
      <c r="G113" s="122">
        <v>0</v>
      </c>
    </row>
    <row r="114" spans="2:7" ht="13.7" customHeight="1">
      <c r="B114" s="5" t="s">
        <v>348</v>
      </c>
      <c r="C114" s="121" t="s">
        <v>48</v>
      </c>
      <c r="D114" s="122">
        <v>0</v>
      </c>
      <c r="E114" s="77" t="s">
        <v>349</v>
      </c>
      <c r="F114" s="121" t="s">
        <v>350</v>
      </c>
      <c r="G114" s="122">
        <v>0</v>
      </c>
    </row>
    <row r="115" spans="2:7" ht="13.7" customHeight="1">
      <c r="B115" s="5" t="s">
        <v>351</v>
      </c>
      <c r="C115" s="121" t="s">
        <v>352</v>
      </c>
      <c r="D115" s="122">
        <v>0</v>
      </c>
      <c r="E115" s="77" t="s">
        <v>353</v>
      </c>
      <c r="F115" s="121" t="s">
        <v>354</v>
      </c>
      <c r="G115" s="122">
        <v>0</v>
      </c>
    </row>
    <row r="116" spans="2:7" ht="13.7" customHeight="1">
      <c r="B116" s="5" t="s">
        <v>355</v>
      </c>
      <c r="C116" s="121" t="s">
        <v>356</v>
      </c>
      <c r="D116" s="122">
        <v>2929857</v>
      </c>
      <c r="E116" s="77" t="s">
        <v>357</v>
      </c>
      <c r="F116" s="121" t="s">
        <v>358</v>
      </c>
      <c r="G116" s="122">
        <v>0</v>
      </c>
    </row>
    <row r="117" spans="2:7" ht="13.7" customHeight="1">
      <c r="B117" s="5" t="s">
        <v>359</v>
      </c>
      <c r="C117" s="121" t="s">
        <v>360</v>
      </c>
      <c r="D117" s="122">
        <v>0</v>
      </c>
      <c r="E117" s="77" t="s">
        <v>361</v>
      </c>
      <c r="F117" s="121" t="s">
        <v>362</v>
      </c>
      <c r="G117" s="122">
        <v>0</v>
      </c>
    </row>
    <row r="118" spans="2:7" ht="13.7" customHeight="1">
      <c r="B118" s="5" t="s">
        <v>363</v>
      </c>
      <c r="C118" s="121" t="s">
        <v>364</v>
      </c>
      <c r="D118" s="122">
        <v>0</v>
      </c>
      <c r="E118" s="77" t="s">
        <v>365</v>
      </c>
      <c r="F118" s="121" t="s">
        <v>366</v>
      </c>
      <c r="G118" s="122">
        <v>0</v>
      </c>
    </row>
    <row r="119" spans="2:7" ht="13.7" customHeight="1">
      <c r="B119" s="5" t="s">
        <v>367</v>
      </c>
      <c r="C119" s="121" t="s">
        <v>368</v>
      </c>
      <c r="D119" s="122">
        <v>760259</v>
      </c>
      <c r="E119" s="77" t="s">
        <v>369</v>
      </c>
      <c r="F119" s="121" t="s">
        <v>370</v>
      </c>
      <c r="G119" s="122">
        <v>0</v>
      </c>
    </row>
    <row r="120" spans="2:7" ht="13.7" customHeight="1">
      <c r="B120" s="5" t="s">
        <v>371</v>
      </c>
      <c r="C120" s="121" t="s">
        <v>372</v>
      </c>
      <c r="D120" s="122">
        <v>0</v>
      </c>
      <c r="E120" s="77" t="s">
        <v>373</v>
      </c>
      <c r="F120" s="121" t="s">
        <v>374</v>
      </c>
      <c r="G120" s="122">
        <v>0</v>
      </c>
    </row>
    <row r="121" spans="2:7" ht="13.7" customHeight="1">
      <c r="B121" s="5" t="s">
        <v>375</v>
      </c>
      <c r="C121" s="78" t="s">
        <v>376</v>
      </c>
      <c r="D121" s="122">
        <v>2733727</v>
      </c>
      <c r="E121" s="77" t="s">
        <v>377</v>
      </c>
      <c r="F121" s="121" t="s">
        <v>378</v>
      </c>
      <c r="G121" s="122">
        <v>142363</v>
      </c>
    </row>
    <row r="122" spans="2:7" ht="13.7" customHeight="1" thickBot="1">
      <c r="B122" s="5"/>
      <c r="C122" s="85" t="s">
        <v>379</v>
      </c>
      <c r="D122" s="94">
        <f>SUM(D112:D121)</f>
        <v>81157645</v>
      </c>
      <c r="E122" s="77" t="s">
        <v>380</v>
      </c>
      <c r="F122" s="78" t="s">
        <v>381</v>
      </c>
      <c r="G122" s="79">
        <v>78068</v>
      </c>
    </row>
    <row r="123" spans="2:7" ht="13.7" customHeight="1" thickBot="1">
      <c r="B123" s="5" t="s">
        <v>382</v>
      </c>
      <c r="C123" s="123" t="s">
        <v>308</v>
      </c>
      <c r="D123" s="120">
        <v>391112</v>
      </c>
      <c r="E123" s="108"/>
      <c r="F123" s="85" t="s">
        <v>383</v>
      </c>
      <c r="G123" s="94">
        <f>SUM(G112:G122)</f>
        <v>220431</v>
      </c>
    </row>
    <row r="124" spans="2:7" ht="13.7" customHeight="1">
      <c r="B124" s="5" t="s">
        <v>384</v>
      </c>
      <c r="C124" s="121" t="s">
        <v>312</v>
      </c>
      <c r="D124" s="122">
        <v>0</v>
      </c>
      <c r="E124" s="77" t="s">
        <v>385</v>
      </c>
      <c r="F124" s="121" t="s">
        <v>386</v>
      </c>
      <c r="G124" s="122">
        <v>22773154</v>
      </c>
    </row>
    <row r="125" spans="2:7" ht="13.7" customHeight="1">
      <c r="B125" s="5" t="s">
        <v>387</v>
      </c>
      <c r="C125" s="78" t="s">
        <v>388</v>
      </c>
      <c r="D125" s="122">
        <v>33116</v>
      </c>
      <c r="E125" s="77" t="s">
        <v>389</v>
      </c>
      <c r="F125" s="121" t="s">
        <v>390</v>
      </c>
      <c r="G125" s="122">
        <v>0</v>
      </c>
    </row>
    <row r="126" spans="2:7" ht="13.7" customHeight="1" thickBot="1">
      <c r="B126" s="5"/>
      <c r="C126" s="85" t="s">
        <v>391</v>
      </c>
      <c r="D126" s="94">
        <f>SUM(D123:D125)</f>
        <v>424228</v>
      </c>
      <c r="E126" s="77" t="s">
        <v>392</v>
      </c>
      <c r="F126" s="121" t="s">
        <v>393</v>
      </c>
      <c r="G126" s="122">
        <v>0</v>
      </c>
    </row>
    <row r="127" spans="2:7" ht="13.7" customHeight="1">
      <c r="B127" s="5" t="s">
        <v>394</v>
      </c>
      <c r="C127" s="119" t="s">
        <v>273</v>
      </c>
      <c r="D127" s="120">
        <v>0</v>
      </c>
      <c r="E127" s="77" t="s">
        <v>395</v>
      </c>
      <c r="F127" s="121" t="s">
        <v>396</v>
      </c>
      <c r="G127" s="122">
        <v>0</v>
      </c>
    </row>
    <row r="128" spans="2:7" ht="13.7" customHeight="1">
      <c r="B128" s="5" t="s">
        <v>397</v>
      </c>
      <c r="C128" s="121" t="s">
        <v>398</v>
      </c>
      <c r="D128" s="122">
        <v>446318</v>
      </c>
      <c r="E128" s="77" t="s">
        <v>399</v>
      </c>
      <c r="F128" s="121" t="s">
        <v>400</v>
      </c>
      <c r="G128" s="122">
        <v>0</v>
      </c>
    </row>
    <row r="129" spans="2:7" ht="13.7" customHeight="1">
      <c r="B129" s="5" t="s">
        <v>401</v>
      </c>
      <c r="C129" s="121" t="s">
        <v>276</v>
      </c>
      <c r="D129" s="122">
        <v>232748</v>
      </c>
      <c r="E129" s="77" t="s">
        <v>402</v>
      </c>
      <c r="F129" s="121" t="s">
        <v>403</v>
      </c>
      <c r="G129" s="122">
        <v>0</v>
      </c>
    </row>
    <row r="130" spans="2:7" ht="13.7" customHeight="1">
      <c r="B130" s="5" t="s">
        <v>404</v>
      </c>
      <c r="C130" s="121" t="s">
        <v>282</v>
      </c>
      <c r="D130" s="122">
        <v>61205</v>
      </c>
      <c r="E130" s="77" t="s">
        <v>405</v>
      </c>
      <c r="F130" s="121" t="s">
        <v>406</v>
      </c>
      <c r="G130" s="122">
        <v>0</v>
      </c>
    </row>
    <row r="131" spans="2:7" ht="13.7" customHeight="1">
      <c r="B131" s="5" t="s">
        <v>407</v>
      </c>
      <c r="C131" s="121" t="s">
        <v>286</v>
      </c>
      <c r="D131" s="122">
        <v>127853</v>
      </c>
      <c r="E131" s="77" t="s">
        <v>408</v>
      </c>
      <c r="F131" s="121" t="s">
        <v>409</v>
      </c>
      <c r="G131" s="122">
        <v>0</v>
      </c>
    </row>
    <row r="132" spans="2:7" ht="13.7" customHeight="1">
      <c r="B132" s="5" t="s">
        <v>410</v>
      </c>
      <c r="C132" s="121" t="s">
        <v>290</v>
      </c>
      <c r="D132" s="122">
        <v>224812</v>
      </c>
      <c r="E132" s="77" t="s">
        <v>411</v>
      </c>
      <c r="F132" s="121" t="s">
        <v>412</v>
      </c>
      <c r="G132" s="122">
        <v>0</v>
      </c>
    </row>
    <row r="133" spans="2:7" ht="13.7" customHeight="1">
      <c r="B133" s="5" t="s">
        <v>413</v>
      </c>
      <c r="C133" s="121" t="s">
        <v>294</v>
      </c>
      <c r="D133" s="122">
        <v>0</v>
      </c>
      <c r="E133" s="77" t="s">
        <v>414</v>
      </c>
      <c r="F133" s="121" t="s">
        <v>415</v>
      </c>
      <c r="G133" s="122">
        <v>20546484</v>
      </c>
    </row>
    <row r="134" spans="2:7" ht="13.7" customHeight="1">
      <c r="B134" s="5" t="s">
        <v>416</v>
      </c>
      <c r="C134" s="121" t="s">
        <v>417</v>
      </c>
      <c r="D134" s="122">
        <f>4668181</f>
        <v>4668181</v>
      </c>
      <c r="E134" s="77" t="s">
        <v>418</v>
      </c>
      <c r="F134" s="121" t="s">
        <v>419</v>
      </c>
      <c r="G134" s="122">
        <v>0</v>
      </c>
    </row>
    <row r="135" spans="2:7" ht="13.7" customHeight="1">
      <c r="B135" s="5" t="s">
        <v>420</v>
      </c>
      <c r="C135" s="121" t="s">
        <v>421</v>
      </c>
      <c r="D135" s="122">
        <v>186153</v>
      </c>
      <c r="E135" s="77" t="s">
        <v>422</v>
      </c>
      <c r="F135" s="121" t="s">
        <v>423</v>
      </c>
      <c r="G135" s="122">
        <v>0</v>
      </c>
    </row>
    <row r="136" spans="2:7" ht="13.7" customHeight="1">
      <c r="B136" s="5" t="s">
        <v>424</v>
      </c>
      <c r="C136" s="121" t="s">
        <v>317</v>
      </c>
      <c r="D136" s="122">
        <v>1407850</v>
      </c>
      <c r="E136" s="77" t="s">
        <v>425</v>
      </c>
      <c r="F136" s="121" t="s">
        <v>426</v>
      </c>
      <c r="G136" s="122">
        <v>0</v>
      </c>
    </row>
    <row r="137" spans="2:7" ht="13.7" customHeight="1">
      <c r="B137" s="5" t="s">
        <v>427</v>
      </c>
      <c r="C137" s="78" t="s">
        <v>319</v>
      </c>
      <c r="D137" s="124">
        <v>801925</v>
      </c>
      <c r="E137" s="77" t="s">
        <v>428</v>
      </c>
      <c r="F137" s="121" t="s">
        <v>429</v>
      </c>
      <c r="G137" s="122">
        <v>15606697</v>
      </c>
    </row>
    <row r="138" spans="2:7" ht="13.7" customHeight="1" thickBot="1">
      <c r="B138" s="5"/>
      <c r="C138" s="85" t="s">
        <v>320</v>
      </c>
      <c r="D138" s="94">
        <f>SUM(D127:D137)</f>
        <v>8157045</v>
      </c>
      <c r="E138" s="77" t="s">
        <v>430</v>
      </c>
      <c r="F138" s="78" t="s">
        <v>431</v>
      </c>
      <c r="G138" s="79">
        <v>2172431</v>
      </c>
    </row>
    <row r="139" spans="2:7" ht="13.7" customHeight="1" thickBot="1">
      <c r="B139" s="5" t="s">
        <v>432</v>
      </c>
      <c r="C139" s="119" t="s">
        <v>326</v>
      </c>
      <c r="D139" s="120">
        <v>0</v>
      </c>
      <c r="E139" s="125"/>
      <c r="F139" s="85" t="s">
        <v>433</v>
      </c>
      <c r="G139" s="94">
        <f>SUM(G124:G138)</f>
        <v>61098766</v>
      </c>
    </row>
    <row r="140" spans="2:7" ht="13.7" customHeight="1" thickBot="1">
      <c r="B140" s="5" t="s">
        <v>434</v>
      </c>
      <c r="C140" s="121" t="s">
        <v>328</v>
      </c>
      <c r="D140" s="122">
        <v>256908</v>
      </c>
      <c r="E140" s="125"/>
      <c r="F140" s="110" t="s">
        <v>435</v>
      </c>
      <c r="G140" s="126">
        <f>G123-G139</f>
        <v>-60878335</v>
      </c>
    </row>
    <row r="141" spans="2:7" ht="13.7" customHeight="1">
      <c r="B141" s="5" t="s">
        <v>436</v>
      </c>
      <c r="C141" s="78" t="s">
        <v>330</v>
      </c>
      <c r="D141" s="124">
        <v>9262</v>
      </c>
      <c r="E141" s="127"/>
      <c r="F141" s="116"/>
      <c r="G141" s="116"/>
    </row>
    <row r="142" spans="2:7" ht="13.7" customHeight="1" thickBot="1">
      <c r="B142" s="5"/>
      <c r="C142" s="85" t="s">
        <v>331</v>
      </c>
      <c r="D142" s="94">
        <f>SUM(D139:D141)</f>
        <v>266170</v>
      </c>
      <c r="E142" s="127"/>
      <c r="F142" s="116"/>
      <c r="G142" s="116"/>
    </row>
    <row r="143" spans="2:7" ht="13.5" customHeight="1" thickBot="1">
      <c r="B143" s="5"/>
      <c r="C143" s="110" t="s">
        <v>332</v>
      </c>
      <c r="D143" s="126">
        <f>[9]Amortizaciones!D33</f>
        <v>172864</v>
      </c>
      <c r="E143" s="77"/>
      <c r="F143" s="72" t="s">
        <v>437</v>
      </c>
      <c r="G143" s="118">
        <f>+[9]E.S.P.!D6</f>
        <v>2021</v>
      </c>
    </row>
    <row r="144" spans="2:7" ht="13.7" customHeight="1">
      <c r="B144" s="5" t="s">
        <v>438</v>
      </c>
      <c r="C144" s="119" t="s">
        <v>439</v>
      </c>
      <c r="D144" s="120">
        <v>1128501</v>
      </c>
      <c r="E144" s="77" t="s">
        <v>440</v>
      </c>
      <c r="F144" s="119" t="s">
        <v>441</v>
      </c>
      <c r="G144" s="120">
        <v>95916</v>
      </c>
    </row>
    <row r="145" spans="2:7" ht="13.7" customHeight="1">
      <c r="B145" s="5" t="s">
        <v>442</v>
      </c>
      <c r="C145" s="121" t="s">
        <v>443</v>
      </c>
      <c r="D145" s="122">
        <v>0</v>
      </c>
      <c r="E145" s="77" t="s">
        <v>444</v>
      </c>
      <c r="F145" s="121" t="s">
        <v>445</v>
      </c>
      <c r="G145" s="122">
        <v>368645</v>
      </c>
    </row>
    <row r="146" spans="2:7" ht="13.7" customHeight="1">
      <c r="B146" s="5" t="s">
        <v>446</v>
      </c>
      <c r="C146" s="128" t="s">
        <v>447</v>
      </c>
      <c r="D146" s="122">
        <v>0</v>
      </c>
      <c r="E146" s="77" t="s">
        <v>448</v>
      </c>
      <c r="F146" s="121" t="s">
        <v>449</v>
      </c>
      <c r="G146" s="122">
        <v>81954</v>
      </c>
    </row>
    <row r="147" spans="2:7" ht="13.7" customHeight="1">
      <c r="B147" s="5" t="s">
        <v>450</v>
      </c>
      <c r="C147" s="78" t="s">
        <v>451</v>
      </c>
      <c r="D147" s="124">
        <v>42790</v>
      </c>
      <c r="E147" s="77" t="s">
        <v>452</v>
      </c>
      <c r="F147" s="121" t="s">
        <v>453</v>
      </c>
      <c r="G147" s="122">
        <v>0</v>
      </c>
    </row>
    <row r="148" spans="2:7" ht="13.7" customHeight="1" thickBot="1">
      <c r="B148" s="5"/>
      <c r="C148" s="85" t="s">
        <v>518</v>
      </c>
      <c r="D148" s="94">
        <f>SUM(D144:D147)</f>
        <v>1171291</v>
      </c>
      <c r="E148" s="77" t="s">
        <v>454</v>
      </c>
      <c r="F148" s="121" t="s">
        <v>455</v>
      </c>
      <c r="G148" s="122">
        <v>0</v>
      </c>
    </row>
    <row r="149" spans="2:7" ht="13.7" customHeight="1">
      <c r="B149" s="5" t="s">
        <v>456</v>
      </c>
      <c r="C149" s="119" t="s">
        <v>457</v>
      </c>
      <c r="D149" s="120">
        <v>1912512</v>
      </c>
      <c r="E149" s="77" t="s">
        <v>458</v>
      </c>
      <c r="F149" s="121" t="s">
        <v>459</v>
      </c>
      <c r="G149" s="122">
        <v>0</v>
      </c>
    </row>
    <row r="150" spans="2:7" ht="13.7" customHeight="1">
      <c r="B150" s="5" t="s">
        <v>460</v>
      </c>
      <c r="C150" s="121" t="s">
        <v>461</v>
      </c>
      <c r="D150" s="122">
        <v>0</v>
      </c>
      <c r="E150" s="77" t="s">
        <v>462</v>
      </c>
      <c r="F150" s="121" t="s">
        <v>463</v>
      </c>
      <c r="G150" s="122">
        <v>0</v>
      </c>
    </row>
    <row r="151" spans="2:7" ht="13.7" customHeight="1">
      <c r="B151" s="5" t="s">
        <v>464</v>
      </c>
      <c r="C151" s="78" t="s">
        <v>465</v>
      </c>
      <c r="D151" s="124">
        <v>77397</v>
      </c>
      <c r="E151" s="77" t="s">
        <v>466</v>
      </c>
      <c r="F151" s="121" t="s">
        <v>467</v>
      </c>
      <c r="G151" s="122">
        <v>51055772</v>
      </c>
    </row>
    <row r="152" spans="2:7" ht="13.7" customHeight="1" thickBot="1">
      <c r="B152" s="5"/>
      <c r="C152" s="85" t="s">
        <v>516</v>
      </c>
      <c r="D152" s="94">
        <f>SUM(D149:D151)</f>
        <v>1989909</v>
      </c>
      <c r="E152" s="77" t="s">
        <v>469</v>
      </c>
      <c r="F152" s="121" t="s">
        <v>470</v>
      </c>
      <c r="G152" s="122">
        <v>0</v>
      </c>
    </row>
    <row r="153" spans="2:7" ht="15" customHeight="1" thickBot="1">
      <c r="B153" s="5"/>
      <c r="C153" s="110" t="s">
        <v>471</v>
      </c>
      <c r="D153" s="129">
        <f>D122+D126+D138+D142+D143+D148+D152</f>
        <v>93339152</v>
      </c>
      <c r="E153" s="77" t="s">
        <v>472</v>
      </c>
      <c r="F153" s="78" t="s">
        <v>473</v>
      </c>
      <c r="G153" s="79">
        <v>52352</v>
      </c>
    </row>
    <row r="154" spans="2:7" ht="13.7" customHeight="1" thickBot="1">
      <c r="B154" s="5"/>
      <c r="C154" s="116"/>
      <c r="D154" s="116"/>
      <c r="E154" s="77"/>
      <c r="F154" s="85" t="s">
        <v>474</v>
      </c>
      <c r="G154" s="94">
        <f>SUM(G144:G153)</f>
        <v>51654639</v>
      </c>
    </row>
    <row r="155" spans="2:7" ht="13.5" customHeight="1" thickBot="1">
      <c r="B155" s="5"/>
      <c r="C155" s="72" t="s">
        <v>475</v>
      </c>
      <c r="D155" s="103">
        <f>G109-D153</f>
        <v>37169480.071499944</v>
      </c>
      <c r="E155" s="77" t="s">
        <v>476</v>
      </c>
      <c r="F155" s="119" t="s">
        <v>477</v>
      </c>
      <c r="G155" s="120">
        <v>4385729</v>
      </c>
    </row>
    <row r="156" spans="2:7" ht="13.7" customHeight="1">
      <c r="C156" s="130"/>
      <c r="D156" s="130"/>
      <c r="E156" s="77" t="s">
        <v>478</v>
      </c>
      <c r="F156" s="121" t="s">
        <v>479</v>
      </c>
      <c r="G156" s="122">
        <v>1689180</v>
      </c>
    </row>
    <row r="157" spans="2:7" ht="13.7" customHeight="1">
      <c r="C157" s="130"/>
      <c r="D157" s="130"/>
      <c r="E157" s="77" t="s">
        <v>480</v>
      </c>
      <c r="F157" s="121" t="s">
        <v>481</v>
      </c>
      <c r="G157" s="122">
        <v>0</v>
      </c>
    </row>
    <row r="158" spans="2:7" ht="13.7" customHeight="1">
      <c r="C158" s="130"/>
      <c r="D158" s="130"/>
      <c r="E158" s="77" t="s">
        <v>482</v>
      </c>
      <c r="F158" s="121" t="s">
        <v>483</v>
      </c>
      <c r="G158" s="122">
        <v>0</v>
      </c>
    </row>
    <row r="159" spans="2:7" ht="13.7" customHeight="1">
      <c r="C159" s="130"/>
      <c r="D159" s="130"/>
      <c r="E159" s="77" t="s">
        <v>484</v>
      </c>
      <c r="F159" s="121" t="s">
        <v>485</v>
      </c>
      <c r="G159" s="122">
        <v>0</v>
      </c>
    </row>
    <row r="160" spans="2:7" ht="13.7" customHeight="1">
      <c r="C160" s="130"/>
      <c r="D160" s="130"/>
      <c r="E160" s="77" t="s">
        <v>486</v>
      </c>
      <c r="F160" s="121" t="s">
        <v>487</v>
      </c>
      <c r="G160" s="122">
        <v>0</v>
      </c>
    </row>
    <row r="161" spans="3:7" ht="13.7" customHeight="1">
      <c r="C161" s="130"/>
      <c r="D161" s="130"/>
      <c r="E161" s="77" t="s">
        <v>488</v>
      </c>
      <c r="F161" s="121" t="s">
        <v>489</v>
      </c>
      <c r="G161" s="122">
        <v>857602</v>
      </c>
    </row>
    <row r="162" spans="3:7" ht="13.7" customHeight="1">
      <c r="C162" s="130"/>
      <c r="D162" s="130"/>
      <c r="E162" s="77" t="s">
        <v>490</v>
      </c>
      <c r="F162" s="121" t="s">
        <v>491</v>
      </c>
      <c r="G162" s="122">
        <v>0</v>
      </c>
    </row>
    <row r="163" spans="3:7" ht="13.7" customHeight="1">
      <c r="C163" s="130"/>
      <c r="D163" s="130"/>
      <c r="E163" s="77" t="s">
        <v>492</v>
      </c>
      <c r="F163" s="121" t="s">
        <v>493</v>
      </c>
      <c r="G163" s="122">
        <v>7544622.6900000004</v>
      </c>
    </row>
    <row r="164" spans="3:7" ht="13.7" customHeight="1">
      <c r="C164" s="130"/>
      <c r="D164" s="130"/>
      <c r="E164" s="77" t="s">
        <v>494</v>
      </c>
      <c r="F164" s="121" t="s">
        <v>495</v>
      </c>
      <c r="G164" s="122">
        <v>0</v>
      </c>
    </row>
    <row r="165" spans="3:7" ht="13.7" customHeight="1">
      <c r="C165" s="130"/>
      <c r="D165" s="130"/>
      <c r="E165" s="77" t="s">
        <v>496</v>
      </c>
      <c r="F165" s="121" t="s">
        <v>497</v>
      </c>
      <c r="G165" s="122">
        <v>0</v>
      </c>
    </row>
    <row r="166" spans="3:7" ht="13.7" customHeight="1">
      <c r="C166" s="130"/>
      <c r="D166" s="130"/>
      <c r="E166" s="77" t="s">
        <v>498</v>
      </c>
      <c r="F166" s="121" t="s">
        <v>499</v>
      </c>
      <c r="G166" s="122">
        <v>284302</v>
      </c>
    </row>
    <row r="167" spans="3:7" ht="13.7" customHeight="1">
      <c r="C167" s="130"/>
      <c r="D167" s="130"/>
      <c r="E167" s="77" t="s">
        <v>500</v>
      </c>
      <c r="F167" s="78" t="s">
        <v>501</v>
      </c>
      <c r="G167" s="79">
        <v>300762</v>
      </c>
    </row>
    <row r="168" spans="3:7" ht="13.7" customHeight="1" thickBot="1">
      <c r="C168" s="130"/>
      <c r="D168" s="130"/>
      <c r="E168" s="77"/>
      <c r="F168" s="85" t="s">
        <v>502</v>
      </c>
      <c r="G168" s="94">
        <f>SUM(G155:G167)</f>
        <v>15062197.690000001</v>
      </c>
    </row>
    <row r="169" spans="3:7" ht="13.7" customHeight="1" thickBot="1">
      <c r="C169" s="130"/>
      <c r="D169" s="130"/>
      <c r="E169" s="77"/>
      <c r="F169" s="110" t="s">
        <v>503</v>
      </c>
      <c r="G169" s="126">
        <f>G154-G168</f>
        <v>36592441.310000002</v>
      </c>
    </row>
    <row r="170" spans="3:7" ht="7.5" customHeight="1" thickBot="1">
      <c r="C170" s="130"/>
      <c r="D170" s="130"/>
      <c r="E170" s="77"/>
      <c r="F170" s="116"/>
      <c r="G170" s="116"/>
    </row>
    <row r="171" spans="3:7" ht="13.7" customHeight="1" thickBot="1">
      <c r="C171" s="130"/>
      <c r="D171" s="130"/>
      <c r="E171" s="77"/>
      <c r="F171" s="72" t="s">
        <v>504</v>
      </c>
      <c r="G171" s="131"/>
    </row>
    <row r="172" spans="3:7" ht="13.7" customHeight="1" thickBot="1">
      <c r="C172" s="130"/>
      <c r="D172" s="130"/>
      <c r="E172" s="77"/>
      <c r="F172" s="132"/>
      <c r="G172" s="133">
        <f>+D155+G140+G169</f>
        <v>12883586.381499946</v>
      </c>
    </row>
    <row r="173" spans="3:7" ht="9" customHeight="1" thickBot="1">
      <c r="C173" s="130"/>
      <c r="D173" s="130"/>
      <c r="E173" s="77"/>
      <c r="F173" s="134"/>
      <c r="G173" s="135"/>
    </row>
    <row r="174" spans="3:7" ht="15" customHeight="1" thickBot="1">
      <c r="C174" s="130"/>
      <c r="D174" s="130"/>
      <c r="E174" s="77"/>
      <c r="F174" s="72" t="s">
        <v>505</v>
      </c>
      <c r="G174" s="118">
        <f>+G143</f>
        <v>2021</v>
      </c>
    </row>
    <row r="175" spans="3:7" ht="13.7" customHeight="1">
      <c r="C175" s="130"/>
      <c r="D175" s="130"/>
      <c r="E175" s="77"/>
      <c r="F175" s="119" t="s">
        <v>506</v>
      </c>
      <c r="G175" s="120">
        <v>0</v>
      </c>
    </row>
    <row r="176" spans="3:7" ht="13.7" customHeight="1">
      <c r="C176" s="130"/>
      <c r="D176" s="130"/>
      <c r="E176" s="77"/>
      <c r="F176" s="121" t="s">
        <v>507</v>
      </c>
      <c r="G176" s="122">
        <v>0</v>
      </c>
    </row>
    <row r="177" spans="1:8" ht="13.7" customHeight="1" thickBot="1">
      <c r="C177" s="130"/>
      <c r="D177" s="130"/>
      <c r="E177" s="77"/>
      <c r="F177" s="121" t="s">
        <v>508</v>
      </c>
      <c r="G177" s="122">
        <v>0</v>
      </c>
    </row>
    <row r="178" spans="1:8" ht="13.7" customHeight="1" thickBot="1">
      <c r="C178" s="130"/>
      <c r="D178" s="130"/>
      <c r="E178" s="77"/>
      <c r="F178" s="72" t="s">
        <v>509</v>
      </c>
      <c r="G178" s="103">
        <f>SUM(G175:G177)</f>
        <v>0</v>
      </c>
    </row>
    <row r="179" spans="1:8" ht="9.75" customHeight="1" thickBot="1">
      <c r="C179" s="130"/>
      <c r="D179" s="130"/>
      <c r="E179" s="77"/>
      <c r="F179" s="116"/>
      <c r="G179" s="116"/>
    </row>
    <row r="180" spans="1:8" ht="14.25" customHeight="1" thickBot="1">
      <c r="C180" s="130"/>
      <c r="D180" s="130"/>
      <c r="E180" s="77"/>
      <c r="F180" s="72" t="s">
        <v>519</v>
      </c>
      <c r="G180" s="131"/>
    </row>
    <row r="181" spans="1:8" ht="16.5" customHeight="1" thickBot="1">
      <c r="C181" s="130"/>
      <c r="D181" s="130"/>
      <c r="E181" s="77"/>
      <c r="F181" s="132"/>
      <c r="G181" s="133">
        <f>+G172+G178</f>
        <v>12883586.381499946</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446" priority="6" stopIfTrue="1" operator="greaterThan">
      <formula>50</formula>
    </cfRule>
    <cfRule type="cellIs" dxfId="445" priority="15" stopIfTrue="1" operator="equal">
      <formula>0</formula>
    </cfRule>
  </conditionalFormatting>
  <conditionalFormatting sqref="D7:D61">
    <cfRule type="cellIs" dxfId="444" priority="13" stopIfTrue="1" operator="between">
      <formula>-0.1</formula>
      <formula>-50</formula>
    </cfRule>
    <cfRule type="cellIs" dxfId="443" priority="14" stopIfTrue="1" operator="between">
      <formula>0.1</formula>
      <formula>50</formula>
    </cfRule>
  </conditionalFormatting>
  <conditionalFormatting sqref="G152:G181 G7:G57 G79:G123 G139:G150">
    <cfRule type="cellIs" dxfId="442" priority="11" stopIfTrue="1" operator="between">
      <formula>-0.1</formula>
      <formula>-50</formula>
    </cfRule>
    <cfRule type="cellIs" dxfId="441" priority="12" stopIfTrue="1" operator="between">
      <formula>0.1</formula>
      <formula>50</formula>
    </cfRule>
  </conditionalFormatting>
  <conditionalFormatting sqref="D111:D155">
    <cfRule type="cellIs" dxfId="440" priority="9" stopIfTrue="1" operator="between">
      <formula>-0.1</formula>
      <formula>-50</formula>
    </cfRule>
    <cfRule type="cellIs" dxfId="439" priority="10" stopIfTrue="1" operator="between">
      <formula>0.1</formula>
      <formula>50</formula>
    </cfRule>
  </conditionalFormatting>
  <conditionalFormatting sqref="G165">
    <cfRule type="expression" dxfId="438" priority="8" stopIfTrue="1">
      <formula>AND($G$165&gt;0,$G$151&gt;0)</formula>
    </cfRule>
  </conditionalFormatting>
  <conditionalFormatting sqref="G151">
    <cfRule type="expression" dxfId="437" priority="5" stopIfTrue="1">
      <formula>AND($G$151&gt;0,$G$165&gt;0)</formula>
    </cfRule>
  </conditionalFormatting>
  <conditionalFormatting sqref="G58:G78">
    <cfRule type="cellIs" dxfId="436" priority="3" stopIfTrue="1" operator="between">
      <formula>-0.1</formula>
      <formula>-50</formula>
    </cfRule>
    <cfRule type="cellIs" dxfId="435" priority="4" stopIfTrue="1" operator="between">
      <formula>0.1</formula>
      <formula>50</formula>
    </cfRule>
  </conditionalFormatting>
  <conditionalFormatting sqref="G124:G138">
    <cfRule type="cellIs" dxfId="434" priority="1" stopIfTrue="1" operator="between">
      <formula>-0.1</formula>
      <formula>-50</formula>
    </cfRule>
    <cfRule type="cellIs" dxfId="433" priority="2" stopIfTrue="1" operator="between">
      <formula>0.1</formula>
      <formula>50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D134 G70:G77 D22 G59" unlockedFormula="1"/>
    <ignoredError sqref="G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06"/>
  <sheetViews>
    <sheetView showGridLines="0" topLeftCell="A46" zoomScaleNormal="100" zoomScaleSheetLayoutView="100" workbookViewId="0">
      <selection activeCell="A64" sqref="A64:XFD64"/>
    </sheetView>
  </sheetViews>
  <sheetFormatPr baseColWidth="10" defaultColWidth="0" defaultRowHeight="15.75" zeroHeight="1"/>
  <cols>
    <col min="1" max="1" width="3" style="64" customWidth="1"/>
    <col min="2" max="2" width="0" style="60" hidden="1" customWidth="1"/>
    <col min="3" max="3" width="56.5703125" style="61" customWidth="1"/>
    <col min="4" max="4" width="21" style="61" customWidth="1"/>
    <col min="5" max="5" width="3.85546875" style="54" customWidth="1"/>
    <col min="6" max="6" width="57.28515625" style="61" customWidth="1"/>
    <col min="7" max="7" width="21.85546875" style="61" customWidth="1"/>
    <col min="8" max="8" width="3.140625" style="46" customWidth="1"/>
    <col min="9" max="16384" width="0" style="46" hidden="1"/>
  </cols>
  <sheetData>
    <row r="1" spans="1:254">
      <c r="A1" s="43"/>
      <c r="B1" s="44"/>
      <c r="C1" s="259" t="s">
        <v>0</v>
      </c>
      <c r="D1" s="259"/>
      <c r="E1" s="260" t="s">
        <v>510</v>
      </c>
      <c r="F1" s="260"/>
      <c r="G1" s="155"/>
      <c r="H1" s="45"/>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row>
    <row r="2" spans="1:254">
      <c r="A2" s="43"/>
      <c r="B2" s="47"/>
      <c r="C2" s="259" t="s">
        <v>1</v>
      </c>
      <c r="D2" s="259"/>
      <c r="E2" s="260" t="s">
        <v>511</v>
      </c>
      <c r="F2" s="260"/>
      <c r="G2" s="155"/>
      <c r="H2" s="45"/>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row>
    <row r="3" spans="1:254">
      <c r="A3" s="43"/>
      <c r="B3" s="47"/>
      <c r="C3" s="259" t="s">
        <v>2</v>
      </c>
      <c r="D3" s="259"/>
      <c r="E3" s="261" t="s">
        <v>3</v>
      </c>
      <c r="F3" s="261"/>
      <c r="G3" s="155"/>
      <c r="H3" s="45"/>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row>
    <row r="4" spans="1:254" ht="10.5" customHeight="1" thickBot="1">
      <c r="A4" s="43"/>
      <c r="B4" s="43"/>
      <c r="C4" s="67"/>
      <c r="D4" s="48"/>
      <c r="E4" s="49"/>
      <c r="F4" s="50"/>
      <c r="G4" s="51"/>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row>
    <row r="5" spans="1:254" ht="17.25" customHeight="1" thickBot="1">
      <c r="A5" s="43"/>
      <c r="B5" s="52"/>
      <c r="C5" s="156" t="s">
        <v>4</v>
      </c>
      <c r="D5" s="157" t="s">
        <v>5</v>
      </c>
      <c r="E5" s="158"/>
      <c r="F5" s="156" t="s">
        <v>6</v>
      </c>
      <c r="G5" s="157" t="s">
        <v>5</v>
      </c>
      <c r="H5" s="43"/>
      <c r="I5" s="5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row>
    <row r="6" spans="1:254" ht="12.75" customHeight="1" thickBot="1">
      <c r="A6" s="43"/>
      <c r="B6" s="52"/>
      <c r="C6" s="159" t="s">
        <v>7</v>
      </c>
      <c r="D6" s="160">
        <f>+[10]E.S.P.!D6</f>
        <v>2021</v>
      </c>
      <c r="E6" s="161"/>
      <c r="F6" s="159" t="s">
        <v>8</v>
      </c>
      <c r="G6" s="160">
        <f>+D6</f>
        <v>2021</v>
      </c>
      <c r="H6" s="5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row>
    <row r="7" spans="1:254">
      <c r="A7" s="43"/>
      <c r="B7" s="47" t="s">
        <v>9</v>
      </c>
      <c r="C7" s="162" t="s">
        <v>10</v>
      </c>
      <c r="D7" s="163">
        <f>71250448+10247654+652726-37945+98477</f>
        <v>82211360</v>
      </c>
      <c r="E7" s="164" t="s">
        <v>11</v>
      </c>
      <c r="F7" s="165" t="s">
        <v>12</v>
      </c>
      <c r="G7" s="166">
        <v>25878950.52</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row>
    <row r="8" spans="1:254">
      <c r="A8" s="43"/>
      <c r="B8" s="47" t="s">
        <v>13</v>
      </c>
      <c r="C8" s="162" t="s">
        <v>14</v>
      </c>
      <c r="D8" s="163">
        <f>144444681+3100472+152784</f>
        <v>147697937</v>
      </c>
      <c r="E8" s="164" t="s">
        <v>15</v>
      </c>
      <c r="F8" s="162" t="s">
        <v>16</v>
      </c>
      <c r="G8" s="167">
        <f>2206628489.48*25%</f>
        <v>551657122.37</v>
      </c>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row>
    <row r="9" spans="1:254">
      <c r="A9" s="43"/>
      <c r="B9" s="47" t="s">
        <v>17</v>
      </c>
      <c r="C9" s="162" t="s">
        <v>18</v>
      </c>
      <c r="D9" s="163">
        <v>9178977660</v>
      </c>
      <c r="E9" s="164" t="s">
        <v>19</v>
      </c>
      <c r="F9" s="162" t="s">
        <v>20</v>
      </c>
      <c r="G9" s="168">
        <f>661527987.09*25%</f>
        <v>165381996.77250001</v>
      </c>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row>
    <row r="10" spans="1:254">
      <c r="A10" s="43"/>
      <c r="B10" s="47" t="s">
        <v>21</v>
      </c>
      <c r="C10" s="162" t="s">
        <v>22</v>
      </c>
      <c r="D10" s="163">
        <v>979616283</v>
      </c>
      <c r="E10" s="164" t="s">
        <v>23</v>
      </c>
      <c r="F10" s="162" t="s">
        <v>24</v>
      </c>
      <c r="G10" s="168">
        <f>2206628489.48*75%</f>
        <v>1654971367.1100001</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3"/>
      <c r="FJ10" s="43"/>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3"/>
      <c r="GM10" s="43"/>
      <c r="GN10" s="43"/>
      <c r="GO10" s="43"/>
      <c r="GP10" s="43"/>
      <c r="GQ10" s="43"/>
      <c r="GR10" s="43"/>
      <c r="GS10" s="43"/>
      <c r="GT10" s="43"/>
      <c r="GU10" s="43"/>
      <c r="GV10" s="43"/>
      <c r="GW10" s="43"/>
      <c r="GX10" s="43"/>
      <c r="GY10" s="43"/>
      <c r="GZ10" s="43"/>
      <c r="HA10" s="43"/>
      <c r="HB10" s="43"/>
      <c r="HC10" s="43"/>
      <c r="HD10" s="43"/>
      <c r="HE10" s="43"/>
      <c r="HF10" s="43"/>
      <c r="HG10" s="43"/>
      <c r="HH10" s="43"/>
      <c r="HI10" s="43"/>
      <c r="HJ10" s="43"/>
      <c r="HK10" s="43"/>
      <c r="HL10" s="43"/>
      <c r="HM10" s="43"/>
      <c r="HN10" s="43"/>
      <c r="HO10" s="43"/>
      <c r="HP10" s="43"/>
      <c r="HQ10" s="43"/>
      <c r="HR10" s="43"/>
      <c r="HS10" s="43"/>
      <c r="HT10" s="43"/>
      <c r="HU10" s="43"/>
      <c r="HV10" s="43"/>
      <c r="HW10" s="43"/>
      <c r="HX10" s="43"/>
      <c r="HY10" s="43"/>
      <c r="HZ10" s="43"/>
      <c r="IA10" s="43"/>
      <c r="IB10" s="43"/>
      <c r="IC10" s="43"/>
      <c r="ID10" s="43"/>
      <c r="IE10" s="43"/>
      <c r="IF10" s="43"/>
      <c r="IG10" s="43"/>
      <c r="IH10" s="43"/>
      <c r="II10" s="43"/>
      <c r="IJ10" s="43"/>
      <c r="IK10" s="43"/>
      <c r="IL10" s="43"/>
      <c r="IM10" s="43"/>
      <c r="IN10" s="43"/>
      <c r="IO10" s="43"/>
      <c r="IP10" s="43"/>
      <c r="IQ10" s="43"/>
      <c r="IR10" s="43"/>
      <c r="IS10" s="43"/>
      <c r="IT10" s="43"/>
    </row>
    <row r="11" spans="1:254">
      <c r="A11" s="43"/>
      <c r="B11" s="47" t="s">
        <v>25</v>
      </c>
      <c r="C11" s="162" t="s">
        <v>26</v>
      </c>
      <c r="D11" s="163">
        <v>136028947</v>
      </c>
      <c r="E11" s="164" t="s">
        <v>27</v>
      </c>
      <c r="F11" s="162" t="s">
        <v>28</v>
      </c>
      <c r="G11" s="168">
        <f>661527987.09*75%</f>
        <v>496145990.3175</v>
      </c>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row>
    <row r="12" spans="1:254">
      <c r="A12" s="43"/>
      <c r="B12" s="47" t="s">
        <v>29</v>
      </c>
      <c r="C12" s="162" t="s">
        <v>30</v>
      </c>
      <c r="D12" s="163">
        <v>50663658</v>
      </c>
      <c r="E12" s="164" t="s">
        <v>31</v>
      </c>
      <c r="F12" s="162" t="s">
        <v>32</v>
      </c>
      <c r="G12" s="168">
        <v>944522875.90999997</v>
      </c>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row>
    <row r="13" spans="1:254">
      <c r="A13" s="43"/>
      <c r="B13" s="47" t="s">
        <v>33</v>
      </c>
      <c r="C13" s="162" t="s">
        <v>34</v>
      </c>
      <c r="D13" s="168">
        <v>0</v>
      </c>
      <c r="E13" s="164" t="s">
        <v>35</v>
      </c>
      <c r="F13" s="162" t="s">
        <v>36</v>
      </c>
      <c r="G13" s="168">
        <v>66554250.880000003</v>
      </c>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c r="IT13" s="43"/>
    </row>
    <row r="14" spans="1:254">
      <c r="A14" s="55"/>
      <c r="B14" s="47" t="s">
        <v>37</v>
      </c>
      <c r="C14" s="162" t="s">
        <v>38</v>
      </c>
      <c r="D14" s="168">
        <v>0</v>
      </c>
      <c r="E14" s="164" t="s">
        <v>39</v>
      </c>
      <c r="F14" s="162" t="s">
        <v>40</v>
      </c>
      <c r="G14" s="168">
        <v>1743590345.48</v>
      </c>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row>
    <row r="15" spans="1:254">
      <c r="A15" s="43"/>
      <c r="B15" s="47" t="s">
        <v>41</v>
      </c>
      <c r="C15" s="169" t="s">
        <v>42</v>
      </c>
      <c r="D15" s="168">
        <v>31409339</v>
      </c>
      <c r="E15" s="164" t="s">
        <v>43</v>
      </c>
      <c r="F15" s="162" t="s">
        <v>44</v>
      </c>
      <c r="G15" s="168">
        <f>568833316.66</f>
        <v>568833316.65999997</v>
      </c>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row>
    <row r="16" spans="1:254">
      <c r="A16" s="43"/>
      <c r="B16" s="47" t="s">
        <v>45</v>
      </c>
      <c r="C16" s="162" t="s">
        <v>46</v>
      </c>
      <c r="D16" s="168">
        <v>0</v>
      </c>
      <c r="E16" s="164" t="s">
        <v>47</v>
      </c>
      <c r="F16" s="162" t="s">
        <v>48</v>
      </c>
      <c r="G16" s="168">
        <v>862905424.36000001</v>
      </c>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row>
    <row r="17" spans="1:254">
      <c r="A17" s="43"/>
      <c r="B17" s="47" t="s">
        <v>49</v>
      </c>
      <c r="C17" s="162" t="s">
        <v>50</v>
      </c>
      <c r="D17" s="168">
        <v>0</v>
      </c>
      <c r="E17" s="164" t="s">
        <v>51</v>
      </c>
      <c r="F17" s="162" t="s">
        <v>52</v>
      </c>
      <c r="G17" s="168">
        <v>12761616</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43"/>
      <c r="FE17" s="43"/>
      <c r="FF17" s="43"/>
      <c r="FG17" s="43"/>
      <c r="FH17" s="43"/>
      <c r="FI17" s="43"/>
      <c r="FJ17" s="43"/>
      <c r="FK17" s="43"/>
      <c r="FL17" s="43"/>
      <c r="FM17" s="43"/>
      <c r="FN17" s="43"/>
      <c r="FO17" s="43"/>
      <c r="FP17" s="43"/>
      <c r="FQ17" s="43"/>
      <c r="FR17" s="43"/>
      <c r="FS17" s="43"/>
      <c r="FT17" s="43"/>
      <c r="FU17" s="43"/>
      <c r="FV17" s="43"/>
      <c r="FW17" s="43"/>
      <c r="FX17" s="43"/>
      <c r="FY17" s="43"/>
      <c r="FZ17" s="43"/>
      <c r="GA17" s="43"/>
      <c r="GB17" s="43"/>
      <c r="GC17" s="43"/>
      <c r="GD17" s="43"/>
      <c r="GE17" s="43"/>
      <c r="GF17" s="43"/>
      <c r="GG17" s="43"/>
      <c r="GH17" s="43"/>
      <c r="GI17" s="43"/>
      <c r="GJ17" s="43"/>
      <c r="GK17" s="43"/>
      <c r="GL17" s="43"/>
      <c r="GM17" s="43"/>
      <c r="GN17" s="43"/>
      <c r="GO17" s="43"/>
      <c r="GP17" s="43"/>
      <c r="GQ17" s="43"/>
      <c r="GR17" s="43"/>
      <c r="GS17" s="43"/>
      <c r="GT17" s="43"/>
      <c r="GU17" s="43"/>
      <c r="GV17" s="43"/>
      <c r="GW17" s="43"/>
      <c r="GX17" s="43"/>
      <c r="GY17" s="43"/>
      <c r="GZ17" s="43"/>
      <c r="HA17" s="43"/>
      <c r="HB17" s="43"/>
      <c r="HC17" s="43"/>
      <c r="HD17" s="43"/>
      <c r="HE17" s="43"/>
      <c r="HF17" s="43"/>
      <c r="HG17" s="43"/>
      <c r="HH17" s="43"/>
      <c r="HI17" s="43"/>
      <c r="HJ17" s="43"/>
      <c r="HK17" s="43"/>
      <c r="HL17" s="43"/>
      <c r="HM17" s="43"/>
      <c r="HN17" s="43"/>
      <c r="HO17" s="43"/>
      <c r="HP17" s="43"/>
      <c r="HQ17" s="43"/>
      <c r="HR17" s="43"/>
      <c r="HS17" s="43"/>
      <c r="HT17" s="43"/>
      <c r="HU17" s="43"/>
      <c r="HV17" s="43"/>
      <c r="HW17" s="43"/>
      <c r="HX17" s="43"/>
      <c r="HY17" s="43"/>
      <c r="HZ17" s="43"/>
      <c r="IA17" s="43"/>
      <c r="IB17" s="43"/>
      <c r="IC17" s="43"/>
      <c r="ID17" s="43"/>
      <c r="IE17" s="43"/>
      <c r="IF17" s="43"/>
      <c r="IG17" s="43"/>
      <c r="IH17" s="43"/>
      <c r="II17" s="43"/>
      <c r="IJ17" s="43"/>
      <c r="IK17" s="43"/>
      <c r="IL17" s="43"/>
      <c r="IM17" s="43"/>
      <c r="IN17" s="43"/>
      <c r="IO17" s="43"/>
      <c r="IP17" s="43"/>
      <c r="IQ17" s="43"/>
      <c r="IR17" s="43"/>
      <c r="IS17" s="43"/>
      <c r="IT17" s="43"/>
    </row>
    <row r="18" spans="1:254">
      <c r="A18" s="55"/>
      <c r="B18" s="47" t="s">
        <v>53</v>
      </c>
      <c r="C18" s="162" t="s">
        <v>54</v>
      </c>
      <c r="D18" s="168">
        <v>32435674</v>
      </c>
      <c r="E18" s="164" t="s">
        <v>55</v>
      </c>
      <c r="F18" s="162" t="s">
        <v>56</v>
      </c>
      <c r="G18" s="170">
        <v>247974644</v>
      </c>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43"/>
      <c r="FE18" s="43"/>
      <c r="FF18" s="43"/>
      <c r="FG18" s="43"/>
      <c r="FH18" s="43"/>
      <c r="FI18" s="43"/>
      <c r="FJ18" s="43"/>
      <c r="FK18" s="43"/>
      <c r="FL18" s="43"/>
      <c r="FM18" s="43"/>
      <c r="FN18" s="43"/>
      <c r="FO18" s="43"/>
      <c r="FP18" s="43"/>
      <c r="FQ18" s="43"/>
      <c r="FR18" s="43"/>
      <c r="FS18" s="43"/>
      <c r="FT18" s="43"/>
      <c r="FU18" s="43"/>
      <c r="FV18" s="43"/>
      <c r="FW18" s="43"/>
      <c r="FX18" s="43"/>
      <c r="FY18" s="43"/>
      <c r="FZ18" s="43"/>
      <c r="GA18" s="43"/>
      <c r="GB18" s="43"/>
      <c r="GC18" s="43"/>
      <c r="GD18" s="43"/>
      <c r="GE18" s="43"/>
      <c r="GF18" s="43"/>
      <c r="GG18" s="43"/>
      <c r="GH18" s="43"/>
      <c r="GI18" s="43"/>
      <c r="GJ18" s="43"/>
      <c r="GK18" s="43"/>
      <c r="GL18" s="43"/>
      <c r="GM18" s="43"/>
      <c r="GN18" s="43"/>
      <c r="GO18" s="43"/>
      <c r="GP18" s="43"/>
      <c r="GQ18" s="43"/>
      <c r="GR18" s="43"/>
      <c r="GS18" s="43"/>
      <c r="GT18" s="43"/>
      <c r="GU18" s="43"/>
      <c r="GV18" s="43"/>
      <c r="GW18" s="43"/>
      <c r="GX18" s="43"/>
      <c r="GY18" s="43"/>
      <c r="GZ18" s="43"/>
      <c r="HA18" s="43"/>
      <c r="HB18" s="43"/>
      <c r="HC18" s="43"/>
      <c r="HD18" s="43"/>
      <c r="HE18" s="43"/>
      <c r="HF18" s="43"/>
      <c r="HG18" s="43"/>
      <c r="HH18" s="43"/>
      <c r="HI18" s="43"/>
      <c r="HJ18" s="43"/>
      <c r="HK18" s="43"/>
      <c r="HL18" s="43"/>
      <c r="HM18" s="43"/>
      <c r="HN18" s="43"/>
      <c r="HO18" s="43"/>
      <c r="HP18" s="43"/>
      <c r="HQ18" s="43"/>
      <c r="HR18" s="43"/>
      <c r="HS18" s="43"/>
      <c r="HT18" s="43"/>
      <c r="HU18" s="43"/>
      <c r="HV18" s="43"/>
      <c r="HW18" s="43"/>
      <c r="HX18" s="43"/>
      <c r="HY18" s="43"/>
      <c r="HZ18" s="43"/>
      <c r="IA18" s="43"/>
      <c r="IB18" s="43"/>
      <c r="IC18" s="43"/>
      <c r="ID18" s="43"/>
      <c r="IE18" s="43"/>
      <c r="IF18" s="43"/>
      <c r="IG18" s="43"/>
      <c r="IH18" s="43"/>
      <c r="II18" s="43"/>
      <c r="IJ18" s="43"/>
      <c r="IK18" s="43"/>
      <c r="IL18" s="43"/>
      <c r="IM18" s="43"/>
      <c r="IN18" s="43"/>
      <c r="IO18" s="43"/>
      <c r="IP18" s="43"/>
      <c r="IQ18" s="43"/>
      <c r="IR18" s="43"/>
      <c r="IS18" s="43"/>
      <c r="IT18" s="43"/>
    </row>
    <row r="19" spans="1:254" ht="16.5" thickBot="1">
      <c r="A19" s="55"/>
      <c r="B19" s="47" t="s">
        <v>57</v>
      </c>
      <c r="C19" s="162" t="s">
        <v>58</v>
      </c>
      <c r="D19" s="168">
        <v>371144594</v>
      </c>
      <c r="E19" s="161"/>
      <c r="F19" s="171" t="s">
        <v>59</v>
      </c>
      <c r="G19" s="172">
        <f>SUM(G7:G18)</f>
        <v>7341177900.3800001</v>
      </c>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row>
    <row r="20" spans="1:254" ht="16.5" thickBot="1">
      <c r="A20" s="43"/>
      <c r="B20" s="47"/>
      <c r="C20" s="171" t="s">
        <v>60</v>
      </c>
      <c r="D20" s="172">
        <f>SUM(D7:D19)</f>
        <v>11010185452</v>
      </c>
      <c r="E20" s="164" t="s">
        <v>61</v>
      </c>
      <c r="F20" s="165" t="s">
        <v>62</v>
      </c>
      <c r="G20" s="166">
        <v>1293947.52</v>
      </c>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3"/>
      <c r="FJ20" s="43"/>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3"/>
      <c r="GM20" s="43"/>
      <c r="GN20" s="43"/>
      <c r="GO20" s="43"/>
      <c r="GP20" s="43"/>
      <c r="GQ20" s="43"/>
      <c r="GR20" s="43"/>
      <c r="GS20" s="43"/>
      <c r="GT20" s="43"/>
      <c r="GU20" s="43"/>
      <c r="GV20" s="43"/>
      <c r="GW20" s="43"/>
      <c r="GX20" s="43"/>
      <c r="GY20" s="43"/>
      <c r="GZ20" s="43"/>
      <c r="HA20" s="43"/>
      <c r="HB20" s="43"/>
      <c r="HC20" s="43"/>
      <c r="HD20" s="43"/>
      <c r="HE20" s="43"/>
      <c r="HF20" s="43"/>
      <c r="HG20" s="43"/>
      <c r="HH20" s="43"/>
      <c r="HI20" s="43"/>
      <c r="HJ20" s="43"/>
      <c r="HK20" s="43"/>
      <c r="HL20" s="43"/>
      <c r="HM20" s="43"/>
      <c r="HN20" s="43"/>
      <c r="HO20" s="43"/>
      <c r="HP20" s="43"/>
      <c r="HQ20" s="43"/>
      <c r="HR20" s="43"/>
      <c r="HS20" s="43"/>
      <c r="HT20" s="43"/>
      <c r="HU20" s="43"/>
      <c r="HV20" s="43"/>
      <c r="HW20" s="43"/>
      <c r="HX20" s="43"/>
      <c r="HY20" s="43"/>
      <c r="HZ20" s="43"/>
      <c r="IA20" s="43"/>
      <c r="IB20" s="43"/>
      <c r="IC20" s="43"/>
      <c r="ID20" s="43"/>
      <c r="IE20" s="43"/>
      <c r="IF20" s="43"/>
      <c r="IG20" s="43"/>
      <c r="IH20" s="43"/>
      <c r="II20" s="43"/>
      <c r="IJ20" s="43"/>
      <c r="IK20" s="43"/>
      <c r="IL20" s="43"/>
      <c r="IM20" s="43"/>
      <c r="IN20" s="43"/>
      <c r="IO20" s="43"/>
      <c r="IP20" s="43"/>
      <c r="IQ20" s="43"/>
      <c r="IR20" s="43"/>
      <c r="IS20" s="43"/>
      <c r="IT20" s="43"/>
    </row>
    <row r="21" spans="1:254">
      <c r="A21" s="43"/>
      <c r="B21" s="47"/>
      <c r="C21" s="173" t="s">
        <v>63</v>
      </c>
      <c r="D21" s="174">
        <f>SUM(D22:D28)</f>
        <v>31099514.380000003</v>
      </c>
      <c r="E21" s="164" t="s">
        <v>64</v>
      </c>
      <c r="F21" s="162" t="s">
        <v>65</v>
      </c>
      <c r="G21" s="168">
        <f>123634668.22+456441</f>
        <v>124091109.22</v>
      </c>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row>
    <row r="22" spans="1:254">
      <c r="A22" s="43"/>
      <c r="B22" s="47" t="s">
        <v>66</v>
      </c>
      <c r="C22" s="162" t="s">
        <v>67</v>
      </c>
      <c r="D22" s="168">
        <v>2055320.55</v>
      </c>
      <c r="E22" s="164" t="s">
        <v>68</v>
      </c>
      <c r="F22" s="162" t="s">
        <v>69</v>
      </c>
      <c r="G22" s="168">
        <f>42977744.63+1205326</f>
        <v>44183070.630000003</v>
      </c>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row>
    <row r="23" spans="1:254">
      <c r="A23" s="43"/>
      <c r="B23" s="47" t="s">
        <v>70</v>
      </c>
      <c r="C23" s="162" t="s">
        <v>71</v>
      </c>
      <c r="D23" s="168">
        <v>1066491.32</v>
      </c>
      <c r="E23" s="164" t="s">
        <v>72</v>
      </c>
      <c r="F23" s="162" t="s">
        <v>73</v>
      </c>
      <c r="G23" s="168">
        <f>134776223.55+60644289.65+13039235</f>
        <v>208459748.20000002</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3"/>
      <c r="FJ23" s="43"/>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3"/>
      <c r="GM23" s="43"/>
      <c r="GN23" s="43"/>
      <c r="GO23" s="43"/>
      <c r="GP23" s="43"/>
      <c r="GQ23" s="43"/>
      <c r="GR23" s="43"/>
      <c r="GS23" s="43"/>
      <c r="GT23" s="43"/>
      <c r="GU23" s="43"/>
      <c r="GV23" s="43"/>
      <c r="GW23" s="43"/>
      <c r="GX23" s="43"/>
      <c r="GY23" s="43"/>
      <c r="GZ23" s="43"/>
      <c r="HA23" s="43"/>
      <c r="HB23" s="43"/>
      <c r="HC23" s="43"/>
      <c r="HD23" s="43"/>
      <c r="HE23" s="43"/>
      <c r="HF23" s="43"/>
      <c r="HG23" s="43"/>
      <c r="HH23" s="43"/>
      <c r="HI23" s="43"/>
      <c r="HJ23" s="43"/>
      <c r="HK23" s="43"/>
      <c r="HL23" s="43"/>
      <c r="HM23" s="43"/>
      <c r="HN23" s="43"/>
      <c r="HO23" s="43"/>
      <c r="HP23" s="43"/>
      <c r="HQ23" s="43"/>
      <c r="HR23" s="43"/>
      <c r="HS23" s="43"/>
      <c r="HT23" s="43"/>
      <c r="HU23" s="43"/>
      <c r="HV23" s="43"/>
      <c r="HW23" s="43"/>
      <c r="HX23" s="43"/>
      <c r="HY23" s="43"/>
      <c r="HZ23" s="43"/>
      <c r="IA23" s="43"/>
      <c r="IB23" s="43"/>
      <c r="IC23" s="43"/>
      <c r="ID23" s="43"/>
      <c r="IE23" s="43"/>
      <c r="IF23" s="43"/>
      <c r="IG23" s="43"/>
      <c r="IH23" s="43"/>
      <c r="II23" s="43"/>
      <c r="IJ23" s="43"/>
      <c r="IK23" s="43"/>
      <c r="IL23" s="43"/>
      <c r="IM23" s="43"/>
      <c r="IN23" s="43"/>
      <c r="IO23" s="43"/>
      <c r="IP23" s="43"/>
      <c r="IQ23" s="43"/>
      <c r="IR23" s="43"/>
      <c r="IS23" s="43"/>
      <c r="IT23" s="43"/>
    </row>
    <row r="24" spans="1:254">
      <c r="A24" s="43"/>
      <c r="B24" s="47" t="s">
        <v>74</v>
      </c>
      <c r="C24" s="162" t="s">
        <v>75</v>
      </c>
      <c r="D24" s="168">
        <v>278285.46999999997</v>
      </c>
      <c r="E24" s="164" t="s">
        <v>76</v>
      </c>
      <c r="F24" s="162" t="s">
        <v>77</v>
      </c>
      <c r="G24" s="168">
        <v>0</v>
      </c>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row>
    <row r="25" spans="1:254">
      <c r="A25" s="43"/>
      <c r="B25" s="47" t="s">
        <v>78</v>
      </c>
      <c r="C25" s="162" t="s">
        <v>79</v>
      </c>
      <c r="D25" s="168">
        <v>0</v>
      </c>
      <c r="E25" s="164" t="s">
        <v>80</v>
      </c>
      <c r="F25" s="162" t="s">
        <v>81</v>
      </c>
      <c r="G25" s="168">
        <v>51562565.149999999</v>
      </c>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3"/>
      <c r="FJ25" s="43"/>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3"/>
      <c r="GM25" s="43"/>
      <c r="GN25" s="43"/>
      <c r="GO25" s="43"/>
      <c r="GP25" s="43"/>
      <c r="GQ25" s="43"/>
      <c r="GR25" s="43"/>
      <c r="GS25" s="43"/>
      <c r="GT25" s="43"/>
      <c r="GU25" s="43"/>
      <c r="GV25" s="43"/>
      <c r="GW25" s="43"/>
      <c r="GX25" s="43"/>
      <c r="GY25" s="43"/>
      <c r="GZ25" s="43"/>
      <c r="HA25" s="43"/>
      <c r="HB25" s="43"/>
      <c r="HC25" s="43"/>
      <c r="HD25" s="43"/>
      <c r="HE25" s="43"/>
      <c r="HF25" s="43"/>
      <c r="HG25" s="43"/>
      <c r="HH25" s="43"/>
      <c r="HI25" s="43"/>
      <c r="HJ25" s="43"/>
      <c r="HK25" s="43"/>
      <c r="HL25" s="43"/>
      <c r="HM25" s="43"/>
      <c r="HN25" s="43"/>
      <c r="HO25" s="43"/>
      <c r="HP25" s="43"/>
      <c r="HQ25" s="43"/>
      <c r="HR25" s="43"/>
      <c r="HS25" s="43"/>
      <c r="HT25" s="43"/>
      <c r="HU25" s="43"/>
      <c r="HV25" s="43"/>
      <c r="HW25" s="43"/>
      <c r="HX25" s="43"/>
      <c r="HY25" s="43"/>
      <c r="HZ25" s="43"/>
      <c r="IA25" s="43"/>
      <c r="IB25" s="43"/>
      <c r="IC25" s="43"/>
      <c r="ID25" s="43"/>
      <c r="IE25" s="43"/>
      <c r="IF25" s="43"/>
      <c r="IG25" s="43"/>
      <c r="IH25" s="43"/>
      <c r="II25" s="43"/>
      <c r="IJ25" s="43"/>
      <c r="IK25" s="43"/>
      <c r="IL25" s="43"/>
      <c r="IM25" s="43"/>
      <c r="IN25" s="43"/>
      <c r="IO25" s="43"/>
      <c r="IP25" s="43"/>
      <c r="IQ25" s="43"/>
      <c r="IR25" s="43"/>
      <c r="IS25" s="43"/>
      <c r="IT25" s="43"/>
    </row>
    <row r="26" spans="1:254">
      <c r="A26" s="43"/>
      <c r="B26" s="47" t="s">
        <v>82</v>
      </c>
      <c r="C26" s="162" t="s">
        <v>83</v>
      </c>
      <c r="D26" s="168">
        <f>7421.31+1257436.5</f>
        <v>1264857.81</v>
      </c>
      <c r="E26" s="164" t="s">
        <v>84</v>
      </c>
      <c r="F26" s="162" t="s">
        <v>85</v>
      </c>
      <c r="G26" s="170">
        <v>14982628</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row>
    <row r="27" spans="1:254" ht="13.5" customHeight="1" thickBot="1">
      <c r="A27" s="43"/>
      <c r="B27" s="47" t="s">
        <v>86</v>
      </c>
      <c r="C27" s="162" t="s">
        <v>87</v>
      </c>
      <c r="D27" s="168">
        <f>25460008.23</f>
        <v>25460008.23</v>
      </c>
      <c r="E27" s="161"/>
      <c r="F27" s="171" t="s">
        <v>88</v>
      </c>
      <c r="G27" s="172">
        <f>SUM(G20:G26)</f>
        <v>444573068.72000003</v>
      </c>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3"/>
      <c r="FJ27" s="43"/>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3"/>
      <c r="GM27" s="43"/>
      <c r="GN27" s="43"/>
      <c r="GO27" s="43"/>
      <c r="GP27" s="43"/>
      <c r="GQ27" s="43"/>
      <c r="GR27" s="43"/>
      <c r="GS27" s="43"/>
      <c r="GT27" s="43"/>
      <c r="GU27" s="43"/>
      <c r="GV27" s="43"/>
      <c r="GW27" s="43"/>
      <c r="GX27" s="43"/>
      <c r="GY27" s="43"/>
      <c r="GZ27" s="43"/>
      <c r="HA27" s="43"/>
      <c r="HB27" s="43"/>
      <c r="HC27" s="43"/>
      <c r="HD27" s="43"/>
      <c r="HE27" s="43"/>
      <c r="HF27" s="43"/>
      <c r="HG27" s="43"/>
      <c r="HH27" s="43"/>
      <c r="HI27" s="43"/>
      <c r="HJ27" s="43"/>
      <c r="HK27" s="43"/>
      <c r="HL27" s="43"/>
      <c r="HM27" s="43"/>
      <c r="HN27" s="43"/>
      <c r="HO27" s="43"/>
      <c r="HP27" s="43"/>
      <c r="HQ27" s="43"/>
      <c r="HR27" s="43"/>
      <c r="HS27" s="43"/>
      <c r="HT27" s="43"/>
      <c r="HU27" s="43"/>
      <c r="HV27" s="43"/>
      <c r="HW27" s="43"/>
      <c r="HX27" s="43"/>
      <c r="HY27" s="43"/>
      <c r="HZ27" s="43"/>
      <c r="IA27" s="43"/>
      <c r="IB27" s="43"/>
      <c r="IC27" s="43"/>
      <c r="ID27" s="43"/>
      <c r="IE27" s="43"/>
      <c r="IF27" s="43"/>
      <c r="IG27" s="43"/>
      <c r="IH27" s="43"/>
      <c r="II27" s="43"/>
      <c r="IJ27" s="43"/>
      <c r="IK27" s="43"/>
      <c r="IL27" s="43"/>
      <c r="IM27" s="43"/>
      <c r="IN27" s="43"/>
      <c r="IO27" s="43"/>
      <c r="IP27" s="43"/>
      <c r="IQ27" s="43"/>
      <c r="IR27" s="43"/>
      <c r="IS27" s="43"/>
      <c r="IT27" s="43"/>
    </row>
    <row r="28" spans="1:254">
      <c r="A28" s="43"/>
      <c r="B28" s="47" t="s">
        <v>89</v>
      </c>
      <c r="C28" s="162" t="s">
        <v>90</v>
      </c>
      <c r="D28" s="168">
        <v>974551</v>
      </c>
      <c r="E28" s="164" t="s">
        <v>91</v>
      </c>
      <c r="F28" s="165" t="s">
        <v>92</v>
      </c>
      <c r="G28" s="166">
        <v>304493548.81</v>
      </c>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3"/>
      <c r="FJ28" s="43"/>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3"/>
      <c r="GM28" s="43"/>
      <c r="GN28" s="43"/>
      <c r="GO28" s="43"/>
      <c r="GP28" s="43"/>
      <c r="GQ28" s="43"/>
      <c r="GR28" s="43"/>
      <c r="GS28" s="43"/>
      <c r="GT28" s="43"/>
      <c r="GU28" s="43"/>
      <c r="GV28" s="43"/>
      <c r="GW28" s="43"/>
      <c r="GX28" s="43"/>
      <c r="GY28" s="43"/>
      <c r="GZ28" s="43"/>
      <c r="HA28" s="43"/>
      <c r="HB28" s="43"/>
      <c r="HC28" s="43"/>
      <c r="HD28" s="43"/>
      <c r="HE28" s="43"/>
      <c r="HF28" s="43"/>
      <c r="HG28" s="43"/>
      <c r="HH28" s="43"/>
      <c r="HI28" s="43"/>
      <c r="HJ28" s="43"/>
      <c r="HK28" s="43"/>
      <c r="HL28" s="43"/>
      <c r="HM28" s="43"/>
      <c r="HN28" s="43"/>
      <c r="HO28" s="43"/>
      <c r="HP28" s="43"/>
      <c r="HQ28" s="43"/>
      <c r="HR28" s="43"/>
      <c r="HS28" s="43"/>
      <c r="HT28" s="43"/>
      <c r="HU28" s="43"/>
      <c r="HV28" s="43"/>
      <c r="HW28" s="43"/>
      <c r="HX28" s="43"/>
      <c r="HY28" s="43"/>
      <c r="HZ28" s="43"/>
      <c r="IA28" s="43"/>
      <c r="IB28" s="43"/>
      <c r="IC28" s="43"/>
      <c r="ID28" s="43"/>
      <c r="IE28" s="43"/>
      <c r="IF28" s="43"/>
      <c r="IG28" s="43"/>
      <c r="IH28" s="43"/>
      <c r="II28" s="43"/>
      <c r="IJ28" s="43"/>
      <c r="IK28" s="43"/>
      <c r="IL28" s="43"/>
      <c r="IM28" s="43"/>
      <c r="IN28" s="43"/>
      <c r="IO28" s="43"/>
      <c r="IP28" s="43"/>
      <c r="IQ28" s="43"/>
      <c r="IR28" s="43"/>
      <c r="IS28" s="43"/>
      <c r="IT28" s="43"/>
    </row>
    <row r="29" spans="1:254">
      <c r="A29" s="43"/>
      <c r="B29" s="47"/>
      <c r="C29" s="175" t="s">
        <v>93</v>
      </c>
      <c r="D29" s="174">
        <f>SUM(D30:D34)</f>
        <v>587703094.79999995</v>
      </c>
      <c r="E29" s="164" t="s">
        <v>94</v>
      </c>
      <c r="F29" s="162" t="s">
        <v>95</v>
      </c>
      <c r="G29" s="168">
        <v>54245256.229999997</v>
      </c>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row>
    <row r="30" spans="1:254">
      <c r="A30" s="43"/>
      <c r="B30" s="47" t="s">
        <v>96</v>
      </c>
      <c r="C30" s="162" t="s">
        <v>97</v>
      </c>
      <c r="D30" s="168">
        <v>544591843.03999996</v>
      </c>
      <c r="E30" s="164" t="s">
        <v>98</v>
      </c>
      <c r="F30" s="162" t="s">
        <v>99</v>
      </c>
      <c r="G30" s="168">
        <v>39371304.82</v>
      </c>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3"/>
      <c r="FJ30" s="43"/>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3"/>
      <c r="GM30" s="43"/>
      <c r="GN30" s="43"/>
      <c r="GO30" s="43"/>
      <c r="GP30" s="43"/>
      <c r="GQ30" s="43"/>
      <c r="GR30" s="43"/>
      <c r="GS30" s="43"/>
      <c r="GT30" s="43"/>
      <c r="GU30" s="43"/>
      <c r="GV30" s="43"/>
      <c r="GW30" s="43"/>
      <c r="GX30" s="43"/>
      <c r="GY30" s="43"/>
      <c r="GZ30" s="43"/>
      <c r="HA30" s="43"/>
      <c r="HB30" s="43"/>
      <c r="HC30" s="43"/>
      <c r="HD30" s="43"/>
      <c r="HE30" s="43"/>
      <c r="HF30" s="43"/>
      <c r="HG30" s="43"/>
      <c r="HH30" s="43"/>
      <c r="HI30" s="43"/>
      <c r="HJ30" s="43"/>
      <c r="HK30" s="43"/>
      <c r="HL30" s="43"/>
      <c r="HM30" s="43"/>
      <c r="HN30" s="43"/>
      <c r="HO30" s="43"/>
      <c r="HP30" s="43"/>
      <c r="HQ30" s="43"/>
      <c r="HR30" s="43"/>
      <c r="HS30" s="43"/>
      <c r="HT30" s="43"/>
      <c r="HU30" s="43"/>
      <c r="HV30" s="43"/>
      <c r="HW30" s="43"/>
      <c r="HX30" s="43"/>
      <c r="HY30" s="43"/>
      <c r="HZ30" s="43"/>
      <c r="IA30" s="43"/>
      <c r="IB30" s="43"/>
      <c r="IC30" s="43"/>
      <c r="ID30" s="43"/>
      <c r="IE30" s="43"/>
      <c r="IF30" s="43"/>
      <c r="IG30" s="43"/>
      <c r="IH30" s="43"/>
      <c r="II30" s="43"/>
      <c r="IJ30" s="43"/>
      <c r="IK30" s="43"/>
      <c r="IL30" s="43"/>
      <c r="IM30" s="43"/>
      <c r="IN30" s="43"/>
      <c r="IO30" s="43"/>
      <c r="IP30" s="43"/>
      <c r="IQ30" s="43"/>
      <c r="IR30" s="43"/>
      <c r="IS30" s="43"/>
      <c r="IT30" s="43"/>
    </row>
    <row r="31" spans="1:254">
      <c r="A31" s="43"/>
      <c r="B31" s="47" t="s">
        <v>100</v>
      </c>
      <c r="C31" s="162" t="s">
        <v>101</v>
      </c>
      <c r="D31" s="168">
        <v>4386630.99</v>
      </c>
      <c r="E31" s="164" t="s">
        <v>102</v>
      </c>
      <c r="F31" s="162" t="s">
        <v>103</v>
      </c>
      <c r="G31" s="170">
        <v>13540923</v>
      </c>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3"/>
      <c r="FJ31" s="43"/>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3"/>
      <c r="GM31" s="43"/>
      <c r="GN31" s="43"/>
      <c r="GO31" s="43"/>
      <c r="GP31" s="43"/>
      <c r="GQ31" s="43"/>
      <c r="GR31" s="43"/>
      <c r="GS31" s="43"/>
      <c r="GT31" s="43"/>
      <c r="GU31" s="43"/>
      <c r="GV31" s="43"/>
      <c r="GW31" s="43"/>
      <c r="GX31" s="43"/>
      <c r="GY31" s="43"/>
      <c r="GZ31" s="43"/>
      <c r="HA31" s="43"/>
      <c r="HB31" s="43"/>
      <c r="HC31" s="43"/>
      <c r="HD31" s="43"/>
      <c r="HE31" s="43"/>
      <c r="HF31" s="43"/>
      <c r="HG31" s="43"/>
      <c r="HH31" s="43"/>
      <c r="HI31" s="43"/>
      <c r="HJ31" s="43"/>
      <c r="HK31" s="43"/>
      <c r="HL31" s="43"/>
      <c r="HM31" s="43"/>
      <c r="HN31" s="43"/>
      <c r="HO31" s="43"/>
      <c r="HP31" s="43"/>
      <c r="HQ31" s="43"/>
      <c r="HR31" s="43"/>
      <c r="HS31" s="43"/>
      <c r="HT31" s="43"/>
      <c r="HU31" s="43"/>
      <c r="HV31" s="43"/>
      <c r="HW31" s="43"/>
      <c r="HX31" s="43"/>
      <c r="HY31" s="43"/>
      <c r="HZ31" s="43"/>
      <c r="IA31" s="43"/>
      <c r="IB31" s="43"/>
      <c r="IC31" s="43"/>
      <c r="ID31" s="43"/>
      <c r="IE31" s="43"/>
      <c r="IF31" s="43"/>
      <c r="IG31" s="43"/>
      <c r="IH31" s="43"/>
      <c r="II31" s="43"/>
      <c r="IJ31" s="43"/>
      <c r="IK31" s="43"/>
      <c r="IL31" s="43"/>
      <c r="IM31" s="43"/>
      <c r="IN31" s="43"/>
      <c r="IO31" s="43"/>
      <c r="IP31" s="43"/>
      <c r="IQ31" s="43"/>
      <c r="IR31" s="43"/>
      <c r="IS31" s="43"/>
      <c r="IT31" s="43"/>
    </row>
    <row r="32" spans="1:254" ht="16.5" thickBot="1">
      <c r="A32" s="43"/>
      <c r="B32" s="47" t="s">
        <v>104</v>
      </c>
      <c r="C32" s="162" t="s">
        <v>105</v>
      </c>
      <c r="D32" s="168">
        <v>12331455.85</v>
      </c>
      <c r="E32" s="161"/>
      <c r="F32" s="171" t="s">
        <v>106</v>
      </c>
      <c r="G32" s="172">
        <f>SUM(G28:G31)</f>
        <v>411651032.86000001</v>
      </c>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3"/>
      <c r="FJ32" s="43"/>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3"/>
      <c r="GM32" s="43"/>
      <c r="GN32" s="43"/>
      <c r="GO32" s="43"/>
      <c r="GP32" s="43"/>
      <c r="GQ32" s="43"/>
      <c r="GR32" s="43"/>
      <c r="GS32" s="43"/>
      <c r="GT32" s="43"/>
      <c r="GU32" s="43"/>
      <c r="GV32" s="43"/>
      <c r="GW32" s="43"/>
      <c r="GX32" s="43"/>
      <c r="GY32" s="43"/>
      <c r="GZ32" s="43"/>
      <c r="HA32" s="43"/>
      <c r="HB32" s="43"/>
      <c r="HC32" s="43"/>
      <c r="HD32" s="43"/>
      <c r="HE32" s="43"/>
      <c r="HF32" s="43"/>
      <c r="HG32" s="43"/>
      <c r="HH32" s="43"/>
      <c r="HI32" s="43"/>
      <c r="HJ32" s="43"/>
      <c r="HK32" s="43"/>
      <c r="HL32" s="43"/>
      <c r="HM32" s="43"/>
      <c r="HN32" s="43"/>
      <c r="HO32" s="43"/>
      <c r="HP32" s="43"/>
      <c r="HQ32" s="43"/>
      <c r="HR32" s="43"/>
      <c r="HS32" s="43"/>
      <c r="HT32" s="43"/>
      <c r="HU32" s="43"/>
      <c r="HV32" s="43"/>
      <c r="HW32" s="43"/>
      <c r="HX32" s="43"/>
      <c r="HY32" s="43"/>
      <c r="HZ32" s="43"/>
      <c r="IA32" s="43"/>
      <c r="IB32" s="43"/>
      <c r="IC32" s="43"/>
      <c r="ID32" s="43"/>
      <c r="IE32" s="43"/>
      <c r="IF32" s="43"/>
      <c r="IG32" s="43"/>
      <c r="IH32" s="43"/>
      <c r="II32" s="43"/>
      <c r="IJ32" s="43"/>
      <c r="IK32" s="43"/>
      <c r="IL32" s="43"/>
      <c r="IM32" s="43"/>
      <c r="IN32" s="43"/>
      <c r="IO32" s="43"/>
      <c r="IP32" s="43"/>
      <c r="IQ32" s="43"/>
      <c r="IR32" s="43"/>
      <c r="IS32" s="43"/>
      <c r="IT32" s="43"/>
    </row>
    <row r="33" spans="1:254">
      <c r="A33" s="43"/>
      <c r="B33" s="47" t="s">
        <v>107</v>
      </c>
      <c r="C33" s="162" t="s">
        <v>108</v>
      </c>
      <c r="D33" s="168">
        <f>110974.75+4732820.47+1128612.45+7128.59+1370325.5+7993.16</f>
        <v>7357854.9199999999</v>
      </c>
      <c r="E33" s="161"/>
      <c r="F33" s="175" t="s">
        <v>109</v>
      </c>
      <c r="G33" s="174">
        <f>SUM(G34:G39)</f>
        <v>459446518.72000003</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3"/>
      <c r="FJ33" s="43"/>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3"/>
      <c r="GM33" s="43"/>
      <c r="GN33" s="43"/>
      <c r="GO33" s="43"/>
      <c r="GP33" s="43"/>
      <c r="GQ33" s="43"/>
      <c r="GR33" s="43"/>
      <c r="GS33" s="43"/>
      <c r="GT33" s="43"/>
      <c r="GU33" s="43"/>
      <c r="GV33" s="43"/>
      <c r="GW33" s="43"/>
      <c r="GX33" s="43"/>
      <c r="GY33" s="43"/>
      <c r="GZ33" s="43"/>
      <c r="HA33" s="43"/>
      <c r="HB33" s="43"/>
      <c r="HC33" s="43"/>
      <c r="HD33" s="43"/>
      <c r="HE33" s="43"/>
      <c r="HF33" s="43"/>
      <c r="HG33" s="43"/>
      <c r="HH33" s="43"/>
      <c r="HI33" s="43"/>
      <c r="HJ33" s="43"/>
      <c r="HK33" s="43"/>
      <c r="HL33" s="43"/>
      <c r="HM33" s="43"/>
      <c r="HN33" s="43"/>
      <c r="HO33" s="43"/>
      <c r="HP33" s="43"/>
      <c r="HQ33" s="43"/>
      <c r="HR33" s="43"/>
      <c r="HS33" s="43"/>
      <c r="HT33" s="43"/>
      <c r="HU33" s="43"/>
      <c r="HV33" s="43"/>
      <c r="HW33" s="43"/>
      <c r="HX33" s="43"/>
      <c r="HY33" s="43"/>
      <c r="HZ33" s="43"/>
      <c r="IA33" s="43"/>
      <c r="IB33" s="43"/>
      <c r="IC33" s="43"/>
      <c r="ID33" s="43"/>
      <c r="IE33" s="43"/>
      <c r="IF33" s="43"/>
      <c r="IG33" s="43"/>
      <c r="IH33" s="43"/>
      <c r="II33" s="43"/>
      <c r="IJ33" s="43"/>
      <c r="IK33" s="43"/>
      <c r="IL33" s="43"/>
      <c r="IM33" s="43"/>
      <c r="IN33" s="43"/>
      <c r="IO33" s="43"/>
      <c r="IP33" s="43"/>
      <c r="IQ33" s="43"/>
      <c r="IR33" s="43"/>
      <c r="IS33" s="43"/>
      <c r="IT33" s="43"/>
    </row>
    <row r="34" spans="1:254">
      <c r="A34" s="43"/>
      <c r="B34" s="47" t="s">
        <v>110</v>
      </c>
      <c r="C34" s="162" t="s">
        <v>111</v>
      </c>
      <c r="D34" s="168">
        <v>19035310</v>
      </c>
      <c r="E34" s="164" t="s">
        <v>112</v>
      </c>
      <c r="F34" s="162" t="s">
        <v>113</v>
      </c>
      <c r="G34" s="168">
        <v>34993501</v>
      </c>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row>
    <row r="35" spans="1:254" ht="16.5" thickBot="1">
      <c r="A35" s="43"/>
      <c r="B35" s="47"/>
      <c r="C35" s="171" t="s">
        <v>114</v>
      </c>
      <c r="D35" s="172">
        <f>+D21+D29</f>
        <v>618802609.17999995</v>
      </c>
      <c r="E35" s="164" t="s">
        <v>115</v>
      </c>
      <c r="F35" s="162" t="s">
        <v>116</v>
      </c>
      <c r="G35" s="168">
        <v>33308063</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3"/>
      <c r="FJ35" s="43"/>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3"/>
      <c r="GM35" s="43"/>
      <c r="GN35" s="43"/>
      <c r="GO35" s="43"/>
      <c r="GP35" s="43"/>
      <c r="GQ35" s="43"/>
      <c r="GR35" s="43"/>
      <c r="GS35" s="43"/>
      <c r="GT35" s="43"/>
      <c r="GU35" s="43"/>
      <c r="GV35" s="43"/>
      <c r="GW35" s="43"/>
      <c r="GX35" s="43"/>
      <c r="GY35" s="43"/>
      <c r="GZ35" s="43"/>
      <c r="HA35" s="43"/>
      <c r="HB35" s="43"/>
      <c r="HC35" s="43"/>
      <c r="HD35" s="43"/>
      <c r="HE35" s="43"/>
      <c r="HF35" s="43"/>
      <c r="HG35" s="43"/>
      <c r="HH35" s="43"/>
      <c r="HI35" s="43"/>
      <c r="HJ35" s="43"/>
      <c r="HK35" s="43"/>
      <c r="HL35" s="43"/>
      <c r="HM35" s="43"/>
      <c r="HN35" s="43"/>
      <c r="HO35" s="43"/>
      <c r="HP35" s="43"/>
      <c r="HQ35" s="43"/>
      <c r="HR35" s="43"/>
      <c r="HS35" s="43"/>
      <c r="HT35" s="43"/>
      <c r="HU35" s="43"/>
      <c r="HV35" s="43"/>
      <c r="HW35" s="43"/>
      <c r="HX35" s="43"/>
      <c r="HY35" s="43"/>
      <c r="HZ35" s="43"/>
      <c r="IA35" s="43"/>
      <c r="IB35" s="43"/>
      <c r="IC35" s="43"/>
      <c r="ID35" s="43"/>
      <c r="IE35" s="43"/>
      <c r="IF35" s="43"/>
      <c r="IG35" s="43"/>
      <c r="IH35" s="43"/>
      <c r="II35" s="43"/>
      <c r="IJ35" s="43"/>
      <c r="IK35" s="43"/>
      <c r="IL35" s="43"/>
      <c r="IM35" s="43"/>
      <c r="IN35" s="43"/>
      <c r="IO35" s="43"/>
      <c r="IP35" s="43"/>
      <c r="IQ35" s="43"/>
      <c r="IR35" s="43"/>
      <c r="IS35" s="43"/>
      <c r="IT35" s="43"/>
    </row>
    <row r="36" spans="1:254">
      <c r="A36" s="43"/>
      <c r="B36" s="47" t="s">
        <v>117</v>
      </c>
      <c r="C36" s="162" t="s">
        <v>118</v>
      </c>
      <c r="D36" s="168">
        <v>5319600.91</v>
      </c>
      <c r="E36" s="164" t="s">
        <v>119</v>
      </c>
      <c r="F36" s="162" t="s">
        <v>517</v>
      </c>
      <c r="G36" s="168">
        <v>8580547</v>
      </c>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row>
    <row r="37" spans="1:254">
      <c r="A37" s="43"/>
      <c r="B37" s="47" t="s">
        <v>120</v>
      </c>
      <c r="C37" s="162" t="s">
        <v>121</v>
      </c>
      <c r="D37" s="168">
        <v>0</v>
      </c>
      <c r="E37" s="164" t="s">
        <v>122</v>
      </c>
      <c r="F37" s="162" t="s">
        <v>123</v>
      </c>
      <c r="G37" s="168">
        <v>19544130</v>
      </c>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row>
    <row r="38" spans="1:254">
      <c r="A38" s="43"/>
      <c r="B38" s="47" t="s">
        <v>124</v>
      </c>
      <c r="C38" s="162" t="s">
        <v>125</v>
      </c>
      <c r="D38" s="168">
        <v>0</v>
      </c>
      <c r="E38" s="164" t="s">
        <v>126</v>
      </c>
      <c r="F38" s="162" t="s">
        <v>127</v>
      </c>
      <c r="G38" s="168">
        <v>32932103</v>
      </c>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row>
    <row r="39" spans="1:254">
      <c r="A39" s="43"/>
      <c r="B39" s="47" t="s">
        <v>128</v>
      </c>
      <c r="C39" s="162" t="s">
        <v>129</v>
      </c>
      <c r="D39" s="168">
        <v>0</v>
      </c>
      <c r="E39" s="164" t="s">
        <v>130</v>
      </c>
      <c r="F39" s="162" t="s">
        <v>131</v>
      </c>
      <c r="G39" s="168">
        <v>330088174.72000003</v>
      </c>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row>
    <row r="40" spans="1:254">
      <c r="A40" s="43"/>
      <c r="B40" s="47" t="s">
        <v>132</v>
      </c>
      <c r="C40" s="162" t="s">
        <v>133</v>
      </c>
      <c r="D40" s="168">
        <v>3750993.5</v>
      </c>
      <c r="E40" s="161"/>
      <c r="F40" s="176" t="s">
        <v>134</v>
      </c>
      <c r="G40" s="177">
        <f>SUM(G41:G46)</f>
        <v>53042626.530000001</v>
      </c>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row>
    <row r="41" spans="1:254">
      <c r="A41" s="43"/>
      <c r="B41" s="47" t="s">
        <v>135</v>
      </c>
      <c r="C41" s="162" t="s">
        <v>136</v>
      </c>
      <c r="D41" s="168">
        <v>50465379.740000002</v>
      </c>
      <c r="E41" s="164" t="s">
        <v>137</v>
      </c>
      <c r="F41" s="162" t="s">
        <v>138</v>
      </c>
      <c r="G41" s="168">
        <v>3104823</v>
      </c>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row>
    <row r="42" spans="1:254">
      <c r="A42" s="43"/>
      <c r="B42" s="47" t="s">
        <v>139</v>
      </c>
      <c r="C42" s="162" t="s">
        <v>140</v>
      </c>
      <c r="D42" s="168">
        <v>42803731.770000003</v>
      </c>
      <c r="E42" s="164" t="s">
        <v>141</v>
      </c>
      <c r="F42" s="162" t="s">
        <v>142</v>
      </c>
      <c r="G42" s="168">
        <v>209120</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row>
    <row r="43" spans="1:254">
      <c r="A43" s="43"/>
      <c r="B43" s="47" t="s">
        <v>143</v>
      </c>
      <c r="C43" s="162" t="s">
        <v>144</v>
      </c>
      <c r="D43" s="168">
        <v>0</v>
      </c>
      <c r="E43" s="164" t="s">
        <v>145</v>
      </c>
      <c r="F43" s="162" t="s">
        <v>146</v>
      </c>
      <c r="G43" s="168">
        <v>11552967</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row>
    <row r="44" spans="1:254">
      <c r="A44" s="43"/>
      <c r="B44" s="47" t="s">
        <v>147</v>
      </c>
      <c r="C44" s="162" t="s">
        <v>148</v>
      </c>
      <c r="D44" s="168">
        <v>0</v>
      </c>
      <c r="E44" s="164" t="s">
        <v>149</v>
      </c>
      <c r="F44" s="162" t="s">
        <v>150</v>
      </c>
      <c r="G44" s="168">
        <v>578516</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row>
    <row r="45" spans="1:254">
      <c r="A45" s="43"/>
      <c r="B45" s="47" t="s">
        <v>151</v>
      </c>
      <c r="C45" s="162" t="s">
        <v>152</v>
      </c>
      <c r="D45" s="168">
        <f>136754113.25+2828584.39</f>
        <v>139582697.63999999</v>
      </c>
      <c r="E45" s="164" t="s">
        <v>153</v>
      </c>
      <c r="F45" s="162" t="s">
        <v>154</v>
      </c>
      <c r="G45" s="168">
        <v>2990323</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row>
    <row r="46" spans="1:254">
      <c r="A46" s="43"/>
      <c r="B46" s="47" t="s">
        <v>155</v>
      </c>
      <c r="C46" s="162" t="s">
        <v>156</v>
      </c>
      <c r="D46" s="168">
        <v>8324870</v>
      </c>
      <c r="E46" s="164" t="s">
        <v>157</v>
      </c>
      <c r="F46" s="162" t="s">
        <v>158</v>
      </c>
      <c r="G46" s="168">
        <v>34606877.530000001</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row>
    <row r="47" spans="1:254" ht="16.5" thickBot="1">
      <c r="A47" s="43"/>
      <c r="B47" s="47"/>
      <c r="C47" s="171" t="s">
        <v>159</v>
      </c>
      <c r="D47" s="172">
        <f>SUM(D36:D46)</f>
        <v>250247273.56</v>
      </c>
      <c r="E47" s="164" t="s">
        <v>160</v>
      </c>
      <c r="F47" s="162" t="s">
        <v>161</v>
      </c>
      <c r="G47" s="170">
        <v>18113886</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row>
    <row r="48" spans="1:254" ht="16.5" thickBot="1">
      <c r="A48" s="43"/>
      <c r="B48" s="47"/>
      <c r="C48" s="178" t="s">
        <v>162</v>
      </c>
      <c r="D48" s="179"/>
      <c r="E48" s="161"/>
      <c r="F48" s="171" t="s">
        <v>163</v>
      </c>
      <c r="G48" s="180">
        <f>+G33+G40+G47</f>
        <v>530603031.25</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row>
    <row r="49" spans="1:254">
      <c r="A49" s="43"/>
      <c r="B49" s="47" t="s">
        <v>164</v>
      </c>
      <c r="C49" s="181" t="s">
        <v>165</v>
      </c>
      <c r="D49" s="182">
        <v>0</v>
      </c>
      <c r="E49" s="164" t="s">
        <v>166</v>
      </c>
      <c r="F49" s="165" t="s">
        <v>167</v>
      </c>
      <c r="G49" s="166">
        <f>15158189.09+382269020.47+43874513.63</f>
        <v>441301723.19</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row>
    <row r="50" spans="1:254">
      <c r="A50" s="43"/>
      <c r="B50" s="47" t="s">
        <v>168</v>
      </c>
      <c r="C50" s="162" t="s">
        <v>162</v>
      </c>
      <c r="D50" s="168">
        <v>707497796</v>
      </c>
      <c r="E50" s="164" t="s">
        <v>169</v>
      </c>
      <c r="F50" s="162" t="s">
        <v>170</v>
      </c>
      <c r="G50" s="168">
        <v>276932284.51999998</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row>
    <row r="51" spans="1:254">
      <c r="A51" s="43"/>
      <c r="B51" s="47" t="s">
        <v>171</v>
      </c>
      <c r="C51" s="162" t="s">
        <v>172</v>
      </c>
      <c r="D51" s="170">
        <v>22020065</v>
      </c>
      <c r="E51" s="164" t="s">
        <v>173</v>
      </c>
      <c r="F51" s="162" t="s">
        <v>174</v>
      </c>
      <c r="G51" s="168">
        <v>4089301.36</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row>
    <row r="52" spans="1:254" ht="16.5" thickBot="1">
      <c r="A52" s="43"/>
      <c r="B52" s="52"/>
      <c r="C52" s="171" t="s">
        <v>175</v>
      </c>
      <c r="D52" s="172">
        <f>SUM(D49:D51)</f>
        <v>729517861</v>
      </c>
      <c r="E52" s="164" t="s">
        <v>176</v>
      </c>
      <c r="F52" s="162" t="s">
        <v>177</v>
      </c>
      <c r="G52" s="168">
        <v>4170686.37</v>
      </c>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row>
    <row r="53" spans="1:254" ht="16.5" thickBot="1">
      <c r="A53" s="43"/>
      <c r="B53" s="47"/>
      <c r="C53" s="159" t="s">
        <v>178</v>
      </c>
      <c r="D53" s="183">
        <f>D20+D35+D47+D52</f>
        <v>12608753195.74</v>
      </c>
      <c r="E53" s="164" t="s">
        <v>179</v>
      </c>
      <c r="F53" s="162" t="s">
        <v>180</v>
      </c>
      <c r="G53" s="168">
        <v>36088953.18</v>
      </c>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row>
    <row r="54" spans="1:254">
      <c r="A54" s="43"/>
      <c r="B54" s="43"/>
      <c r="C54" s="184"/>
      <c r="D54" s="185"/>
      <c r="E54" s="164" t="s">
        <v>181</v>
      </c>
      <c r="F54" s="162" t="s">
        <v>182</v>
      </c>
      <c r="G54" s="168">
        <v>14903411.220000001</v>
      </c>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row>
    <row r="55" spans="1:254">
      <c r="A55" s="43"/>
      <c r="B55" s="43"/>
      <c r="C55" s="186" t="s">
        <v>183</v>
      </c>
      <c r="D55" s="187"/>
      <c r="E55" s="164" t="s">
        <v>184</v>
      </c>
      <c r="F55" s="162" t="s">
        <v>185</v>
      </c>
      <c r="G55" s="168">
        <v>2251968.1800000002</v>
      </c>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row>
    <row r="56" spans="1:254">
      <c r="A56" s="43"/>
      <c r="B56" s="47" t="s">
        <v>186</v>
      </c>
      <c r="C56" s="188" t="s">
        <v>187</v>
      </c>
      <c r="D56" s="168">
        <v>-863033</v>
      </c>
      <c r="E56" s="164" t="s">
        <v>188</v>
      </c>
      <c r="F56" s="162" t="s">
        <v>189</v>
      </c>
      <c r="G56" s="168">
        <v>26370767</v>
      </c>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row>
    <row r="57" spans="1:254" ht="14.25" customHeight="1" thickBot="1">
      <c r="A57" s="43"/>
      <c r="B57" s="47" t="s">
        <v>190</v>
      </c>
      <c r="C57" s="188" t="s">
        <v>191</v>
      </c>
      <c r="D57" s="168"/>
      <c r="E57" s="161"/>
      <c r="F57" s="171" t="s">
        <v>192</v>
      </c>
      <c r="G57" s="172">
        <f>SUM(G49:G56)</f>
        <v>806109095.01999998</v>
      </c>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c r="IO57" s="43"/>
      <c r="IP57" s="43"/>
      <c r="IQ57" s="43"/>
      <c r="IR57" s="43"/>
      <c r="IS57" s="43"/>
      <c r="IT57" s="43"/>
    </row>
    <row r="58" spans="1:254">
      <c r="A58" s="43"/>
      <c r="B58" s="47" t="s">
        <v>193</v>
      </c>
      <c r="C58" s="188" t="s">
        <v>194</v>
      </c>
      <c r="D58" s="168"/>
      <c r="E58" s="164" t="s">
        <v>195</v>
      </c>
      <c r="F58" s="165" t="s">
        <v>196</v>
      </c>
      <c r="G58" s="166">
        <v>1031587666.24</v>
      </c>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row>
    <row r="59" spans="1:254">
      <c r="A59" s="43"/>
      <c r="B59" s="47" t="s">
        <v>197</v>
      </c>
      <c r="C59" s="162" t="s">
        <v>198</v>
      </c>
      <c r="D59" s="168">
        <v>-29454</v>
      </c>
      <c r="E59" s="164" t="s">
        <v>199</v>
      </c>
      <c r="F59" s="162" t="s">
        <v>200</v>
      </c>
      <c r="G59" s="168">
        <v>6881265.8200000003</v>
      </c>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row>
    <row r="60" spans="1:254" ht="16.5" thickBot="1">
      <c r="A60" s="43"/>
      <c r="B60" s="47"/>
      <c r="C60" s="171" t="s">
        <v>201</v>
      </c>
      <c r="D60" s="172">
        <f>SUM(D56:D59)</f>
        <v>-892487</v>
      </c>
      <c r="E60" s="164" t="s">
        <v>202</v>
      </c>
      <c r="F60" s="162" t="s">
        <v>203</v>
      </c>
      <c r="G60" s="168">
        <v>2198596.16</v>
      </c>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row>
    <row r="61" spans="1:254" ht="16.5" thickBot="1">
      <c r="A61" s="43"/>
      <c r="B61" s="56"/>
      <c r="C61" s="189" t="s">
        <v>204</v>
      </c>
      <c r="D61" s="190">
        <f>D53+D60</f>
        <v>12607860708.74</v>
      </c>
      <c r="E61" s="164" t="s">
        <v>205</v>
      </c>
      <c r="F61" s="162" t="s">
        <v>206</v>
      </c>
      <c r="G61" s="168">
        <v>0</v>
      </c>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row>
    <row r="62" spans="1:254">
      <c r="A62" s="43"/>
      <c r="B62" s="57"/>
      <c r="C62" s="191"/>
      <c r="D62" s="191"/>
      <c r="E62" s="164" t="s">
        <v>207</v>
      </c>
      <c r="F62" s="162" t="s">
        <v>208</v>
      </c>
      <c r="G62" s="168">
        <v>0</v>
      </c>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row>
    <row r="63" spans="1:254">
      <c r="A63" s="43"/>
      <c r="B63" s="58"/>
      <c r="C63" s="192" t="s">
        <v>8</v>
      </c>
      <c r="D63" s="192"/>
      <c r="E63" s="164" t="s">
        <v>209</v>
      </c>
      <c r="F63" s="162" t="s">
        <v>210</v>
      </c>
      <c r="G63" s="168">
        <v>20168648.710000001</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row>
    <row r="64" spans="1:254">
      <c r="A64" s="43"/>
      <c r="B64" s="59" t="s">
        <v>211</v>
      </c>
      <c r="C64" s="193" t="s">
        <v>212</v>
      </c>
      <c r="D64" s="193">
        <f>[10]Amortizaciones!D6</f>
        <v>96862925</v>
      </c>
      <c r="E64" s="164" t="s">
        <v>213</v>
      </c>
      <c r="F64" s="162" t="s">
        <v>214</v>
      </c>
      <c r="G64" s="168">
        <v>45723696.359999999</v>
      </c>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row>
    <row r="65" spans="1:254">
      <c r="A65" s="43"/>
      <c r="B65" s="59" t="s">
        <v>215</v>
      </c>
      <c r="C65" s="193" t="s">
        <v>216</v>
      </c>
      <c r="D65" s="193">
        <f>[10]Amortizaciones!D7</f>
        <v>0</v>
      </c>
      <c r="E65" s="164" t="s">
        <v>217</v>
      </c>
      <c r="F65" s="162" t="s">
        <v>218</v>
      </c>
      <c r="G65" s="168">
        <v>22738104.25</v>
      </c>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c r="IK65" s="43"/>
      <c r="IL65" s="43"/>
      <c r="IM65" s="43"/>
      <c r="IN65" s="43"/>
      <c r="IO65" s="43"/>
      <c r="IP65" s="43"/>
      <c r="IQ65" s="43"/>
      <c r="IR65" s="43"/>
      <c r="IS65" s="43"/>
      <c r="IT65" s="43"/>
    </row>
    <row r="66" spans="1:254">
      <c r="A66" s="43"/>
      <c r="B66" s="59" t="s">
        <v>219</v>
      </c>
      <c r="C66" s="193" t="s">
        <v>220</v>
      </c>
      <c r="D66" s="193">
        <f>[10]Amortizaciones!D8</f>
        <v>39159114</v>
      </c>
      <c r="E66" s="164" t="s">
        <v>221</v>
      </c>
      <c r="F66" s="162" t="s">
        <v>222</v>
      </c>
      <c r="G66" s="168">
        <v>34453663.039999999</v>
      </c>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row>
    <row r="67" spans="1:254">
      <c r="A67" s="43"/>
      <c r="B67" s="59" t="s">
        <v>223</v>
      </c>
      <c r="C67" s="193" t="s">
        <v>224</v>
      </c>
      <c r="D67" s="193">
        <f>[10]Amortizaciones!D9</f>
        <v>0</v>
      </c>
      <c r="E67" s="164" t="s">
        <v>225</v>
      </c>
      <c r="F67" s="162" t="s">
        <v>226</v>
      </c>
      <c r="G67" s="168">
        <v>53227656</v>
      </c>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row>
    <row r="68" spans="1:254">
      <c r="A68" s="43"/>
      <c r="B68" s="59" t="s">
        <v>227</v>
      </c>
      <c r="C68" s="193" t="s">
        <v>228</v>
      </c>
      <c r="D68" s="193">
        <f>[10]Amortizaciones!D10</f>
        <v>2674634</v>
      </c>
      <c r="E68" s="164" t="s">
        <v>229</v>
      </c>
      <c r="F68" s="162" t="s">
        <v>230</v>
      </c>
      <c r="G68" s="168">
        <v>22241259.91</v>
      </c>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row>
    <row r="69" spans="1:254">
      <c r="A69" s="43"/>
      <c r="B69" s="59" t="s">
        <v>231</v>
      </c>
      <c r="C69" s="193" t="s">
        <v>232</v>
      </c>
      <c r="D69" s="193">
        <f>[10]Amortizaciones!D11</f>
        <v>0</v>
      </c>
      <c r="E69" s="164" t="s">
        <v>233</v>
      </c>
      <c r="F69" s="162" t="s">
        <v>234</v>
      </c>
      <c r="G69" s="168">
        <v>20273989.16</v>
      </c>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row>
    <row r="70" spans="1:254">
      <c r="A70" s="43"/>
      <c r="B70" s="59" t="s">
        <v>235</v>
      </c>
      <c r="C70" s="193" t="s">
        <v>236</v>
      </c>
      <c r="D70" s="193">
        <f>[10]Amortizaciones!D12</f>
        <v>0</v>
      </c>
      <c r="E70" s="164" t="s">
        <v>237</v>
      </c>
      <c r="F70" s="162" t="s">
        <v>238</v>
      </c>
      <c r="G70" s="168">
        <v>35139648.119999997</v>
      </c>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row>
    <row r="71" spans="1:254">
      <c r="A71" s="43"/>
      <c r="B71" s="59" t="s">
        <v>239</v>
      </c>
      <c r="C71" s="193" t="s">
        <v>240</v>
      </c>
      <c r="D71" s="193">
        <f>[10]Amortizaciones!D13</f>
        <v>0</v>
      </c>
      <c r="E71" s="164" t="s">
        <v>241</v>
      </c>
      <c r="F71" s="162" t="s">
        <v>242</v>
      </c>
      <c r="G71" s="168">
        <v>0</v>
      </c>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c r="IK71" s="43"/>
      <c r="IL71" s="43"/>
      <c r="IM71" s="43"/>
      <c r="IN71" s="43"/>
      <c r="IO71" s="43"/>
      <c r="IP71" s="43"/>
      <c r="IQ71" s="43"/>
      <c r="IR71" s="43"/>
      <c r="IS71" s="43"/>
      <c r="IT71" s="43"/>
    </row>
    <row r="72" spans="1:254">
      <c r="A72" s="43"/>
      <c r="B72" s="59" t="s">
        <v>243</v>
      </c>
      <c r="C72" s="193" t="s">
        <v>244</v>
      </c>
      <c r="D72" s="193">
        <f>[10]Amortizaciones!D14</f>
        <v>16891659</v>
      </c>
      <c r="E72" s="164" t="s">
        <v>245</v>
      </c>
      <c r="F72" s="162" t="s">
        <v>246</v>
      </c>
      <c r="G72" s="168">
        <v>0</v>
      </c>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c r="IK72" s="43"/>
      <c r="IL72" s="43"/>
      <c r="IM72" s="43"/>
      <c r="IN72" s="43"/>
      <c r="IO72" s="43"/>
      <c r="IP72" s="43"/>
      <c r="IQ72" s="43"/>
      <c r="IR72" s="43"/>
      <c r="IS72" s="43"/>
      <c r="IT72" s="43"/>
    </row>
    <row r="73" spans="1:254">
      <c r="A73" s="43"/>
      <c r="B73" s="59" t="s">
        <v>247</v>
      </c>
      <c r="C73" s="193" t="s">
        <v>248</v>
      </c>
      <c r="D73" s="193">
        <f>[10]Amortizaciones!D15</f>
        <v>6565303</v>
      </c>
      <c r="E73" s="164" t="s">
        <v>249</v>
      </c>
      <c r="F73" s="162" t="s">
        <v>250</v>
      </c>
      <c r="G73" s="168">
        <v>0</v>
      </c>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c r="IK73" s="43"/>
      <c r="IL73" s="43"/>
      <c r="IM73" s="43"/>
      <c r="IN73" s="43"/>
      <c r="IO73" s="43"/>
      <c r="IP73" s="43"/>
      <c r="IQ73" s="43"/>
      <c r="IR73" s="43"/>
      <c r="IS73" s="43"/>
      <c r="IT73" s="43"/>
    </row>
    <row r="74" spans="1:254">
      <c r="A74" s="43"/>
      <c r="B74" s="59" t="s">
        <v>251</v>
      </c>
      <c r="C74" s="193" t="s">
        <v>252</v>
      </c>
      <c r="D74" s="193">
        <f>[10]Amortizaciones!D16</f>
        <v>0</v>
      </c>
      <c r="E74" s="164" t="s">
        <v>253</v>
      </c>
      <c r="F74" s="162" t="s">
        <v>254</v>
      </c>
      <c r="G74" s="168">
        <v>0</v>
      </c>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c r="IK74" s="43"/>
      <c r="IL74" s="43"/>
      <c r="IM74" s="43"/>
      <c r="IN74" s="43"/>
      <c r="IO74" s="43"/>
      <c r="IP74" s="43"/>
      <c r="IQ74" s="43"/>
      <c r="IR74" s="43"/>
      <c r="IS74" s="43"/>
      <c r="IT74" s="43"/>
    </row>
    <row r="75" spans="1:254">
      <c r="A75" s="43"/>
      <c r="B75" s="59" t="s">
        <v>255</v>
      </c>
      <c r="C75" s="193" t="s">
        <v>256</v>
      </c>
      <c r="D75" s="193">
        <f>[10]Amortizaciones!D17</f>
        <v>0</v>
      </c>
      <c r="E75" s="164" t="s">
        <v>257</v>
      </c>
      <c r="F75" s="162" t="s">
        <v>258</v>
      </c>
      <c r="G75" s="168">
        <v>24068209</v>
      </c>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row>
    <row r="76" spans="1:254">
      <c r="A76" s="43"/>
      <c r="B76" s="59" t="s">
        <v>259</v>
      </c>
      <c r="C76" s="193" t="s">
        <v>260</v>
      </c>
      <c r="D76" s="193">
        <f>[10]Amortizaciones!D18</f>
        <v>0</v>
      </c>
      <c r="E76" s="164" t="s">
        <v>261</v>
      </c>
      <c r="F76" s="162" t="s">
        <v>262</v>
      </c>
      <c r="G76" s="168">
        <v>60992665.850000001</v>
      </c>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row>
    <row r="77" spans="1:254">
      <c r="A77" s="43"/>
      <c r="B77" s="59" t="s">
        <v>263</v>
      </c>
      <c r="C77" s="193" t="s">
        <v>264</v>
      </c>
      <c r="D77" s="193">
        <f>SUM(D64:D76)</f>
        <v>162153635</v>
      </c>
      <c r="E77" s="164" t="s">
        <v>265</v>
      </c>
      <c r="F77" s="162" t="s">
        <v>266</v>
      </c>
      <c r="G77" s="168">
        <f>197445586.46+4777385.27</f>
        <v>202222971.73000002</v>
      </c>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row>
    <row r="78" spans="1:254">
      <c r="A78" s="43"/>
      <c r="B78" s="59"/>
      <c r="C78" s="193"/>
      <c r="D78" s="193"/>
      <c r="E78" s="164" t="s">
        <v>267</v>
      </c>
      <c r="F78" s="162" t="s">
        <v>268</v>
      </c>
      <c r="G78" s="170">
        <v>53870883</v>
      </c>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row>
    <row r="79" spans="1:254" ht="16.5" thickBot="1">
      <c r="A79" s="43"/>
      <c r="B79" s="59"/>
      <c r="C79" s="192" t="s">
        <v>269</v>
      </c>
      <c r="D79" s="194"/>
      <c r="E79" s="161"/>
      <c r="F79" s="171" t="s">
        <v>270</v>
      </c>
      <c r="G79" s="172">
        <f>SUM(G58:G78)</f>
        <v>1635788923.3499999</v>
      </c>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c r="IN79" s="43"/>
      <c r="IO79" s="43"/>
      <c r="IP79" s="43"/>
      <c r="IQ79" s="43"/>
      <c r="IR79" s="43"/>
      <c r="IS79" s="43"/>
      <c r="IT79" s="43"/>
    </row>
    <row r="80" spans="1:254">
      <c r="A80" s="43"/>
      <c r="B80" s="59" t="s">
        <v>271</v>
      </c>
      <c r="C80" s="193" t="s">
        <v>236</v>
      </c>
      <c r="D80" s="193">
        <f>[10]Amortizaciones!D22</f>
        <v>13087615</v>
      </c>
      <c r="E80" s="164" t="s">
        <v>272</v>
      </c>
      <c r="F80" s="165" t="s">
        <v>273</v>
      </c>
      <c r="G80" s="166">
        <v>10905592.310000001</v>
      </c>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c r="IN80" s="43"/>
      <c r="IO80" s="43"/>
      <c r="IP80" s="43"/>
      <c r="IQ80" s="43"/>
      <c r="IR80" s="43"/>
      <c r="IS80" s="43"/>
      <c r="IT80" s="43"/>
    </row>
    <row r="81" spans="1:254">
      <c r="A81" s="43"/>
      <c r="B81" s="59" t="s">
        <v>274</v>
      </c>
      <c r="C81" s="193" t="s">
        <v>240</v>
      </c>
      <c r="D81" s="193">
        <f>[10]Amortizaciones!D23</f>
        <v>0</v>
      </c>
      <c r="E81" s="164" t="s">
        <v>275</v>
      </c>
      <c r="F81" s="162" t="s">
        <v>276</v>
      </c>
      <c r="G81" s="168">
        <v>33117269.829999998</v>
      </c>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row>
    <row r="82" spans="1:254">
      <c r="A82" s="43"/>
      <c r="B82" s="59" t="s">
        <v>277</v>
      </c>
      <c r="C82" s="193" t="s">
        <v>244</v>
      </c>
      <c r="D82" s="193">
        <f>[10]Amortizaciones!D24</f>
        <v>0</v>
      </c>
      <c r="E82" s="164" t="s">
        <v>278</v>
      </c>
      <c r="F82" s="162" t="s">
        <v>279</v>
      </c>
      <c r="G82" s="168">
        <v>14943070.34</v>
      </c>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row>
    <row r="83" spans="1:254">
      <c r="A83" s="43"/>
      <c r="B83" s="59" t="s">
        <v>280</v>
      </c>
      <c r="C83" s="193" t="s">
        <v>248</v>
      </c>
      <c r="D83" s="193">
        <f>[10]Amortizaciones!D25</f>
        <v>0</v>
      </c>
      <c r="E83" s="164" t="s">
        <v>281</v>
      </c>
      <c r="F83" s="162" t="s">
        <v>282</v>
      </c>
      <c r="G83" s="168">
        <v>6948601.1200000001</v>
      </c>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c r="IK83" s="43"/>
      <c r="IL83" s="43"/>
      <c r="IM83" s="43"/>
      <c r="IN83" s="43"/>
      <c r="IO83" s="43"/>
      <c r="IP83" s="43"/>
      <c r="IQ83" s="43"/>
      <c r="IR83" s="43"/>
      <c r="IS83" s="43"/>
      <c r="IT83" s="43"/>
    </row>
    <row r="84" spans="1:254">
      <c r="A84" s="43"/>
      <c r="B84" s="59" t="s">
        <v>283</v>
      </c>
      <c r="C84" s="193" t="s">
        <v>284</v>
      </c>
      <c r="D84" s="193">
        <v>0</v>
      </c>
      <c r="E84" s="164" t="s">
        <v>285</v>
      </c>
      <c r="F84" s="162" t="s">
        <v>286</v>
      </c>
      <c r="G84" s="168">
        <v>60889364.460000001</v>
      </c>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c r="IM84" s="43"/>
      <c r="IN84" s="43"/>
      <c r="IO84" s="43"/>
      <c r="IP84" s="43"/>
      <c r="IQ84" s="43"/>
      <c r="IR84" s="43"/>
      <c r="IS84" s="43"/>
      <c r="IT84" s="43"/>
    </row>
    <row r="85" spans="1:254">
      <c r="A85" s="43"/>
      <c r="B85" s="59" t="s">
        <v>287</v>
      </c>
      <c r="C85" s="193" t="s">
        <v>288</v>
      </c>
      <c r="D85" s="193">
        <f>[10]Amortizaciones!D27</f>
        <v>0</v>
      </c>
      <c r="E85" s="164" t="s">
        <v>289</v>
      </c>
      <c r="F85" s="162" t="s">
        <v>290</v>
      </c>
      <c r="G85" s="168">
        <v>20511484.23</v>
      </c>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c r="IK85" s="43"/>
      <c r="IL85" s="43"/>
      <c r="IM85" s="43"/>
      <c r="IN85" s="43"/>
      <c r="IO85" s="43"/>
      <c r="IP85" s="43"/>
      <c r="IQ85" s="43"/>
      <c r="IR85" s="43"/>
      <c r="IS85" s="43"/>
      <c r="IT85" s="43"/>
    </row>
    <row r="86" spans="1:254" ht="13.5" customHeight="1">
      <c r="A86" s="43"/>
      <c r="B86" s="59" t="s">
        <v>291</v>
      </c>
      <c r="C86" s="193" t="s">
        <v>292</v>
      </c>
      <c r="D86" s="193">
        <f>[10]Amortizaciones!D28</f>
        <v>12773452</v>
      </c>
      <c r="E86" s="164" t="s">
        <v>293</v>
      </c>
      <c r="F86" s="162" t="s">
        <v>294</v>
      </c>
      <c r="G86" s="168">
        <v>109406.65</v>
      </c>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3"/>
      <c r="HF86" s="43"/>
      <c r="HG86" s="43"/>
      <c r="HH86" s="43"/>
      <c r="HI86" s="43"/>
      <c r="HJ86" s="43"/>
      <c r="HK86" s="43"/>
      <c r="HL86" s="43"/>
      <c r="HM86" s="43"/>
      <c r="HN86" s="43"/>
      <c r="HO86" s="43"/>
      <c r="HP86" s="43"/>
      <c r="HQ86" s="43"/>
      <c r="HR86" s="43"/>
      <c r="HS86" s="43"/>
      <c r="HT86" s="43"/>
      <c r="HU86" s="43"/>
      <c r="HV86" s="43"/>
      <c r="HW86" s="43"/>
      <c r="HX86" s="43"/>
      <c r="HY86" s="43"/>
      <c r="HZ86" s="43"/>
      <c r="IA86" s="43"/>
      <c r="IB86" s="43"/>
      <c r="IC86" s="43"/>
      <c r="ID86" s="43"/>
      <c r="IE86" s="43"/>
      <c r="IF86" s="43"/>
      <c r="IG86" s="43"/>
      <c r="IH86" s="43"/>
      <c r="II86" s="43"/>
      <c r="IJ86" s="43"/>
      <c r="IK86" s="43"/>
      <c r="IL86" s="43"/>
      <c r="IM86" s="43"/>
      <c r="IN86" s="43"/>
      <c r="IO86" s="43"/>
      <c r="IP86" s="43"/>
      <c r="IQ86" s="43"/>
      <c r="IR86" s="43"/>
      <c r="IS86" s="43"/>
      <c r="IT86" s="43"/>
    </row>
    <row r="87" spans="1:254" ht="13.5" customHeight="1">
      <c r="A87" s="43"/>
      <c r="B87" s="59" t="s">
        <v>295</v>
      </c>
      <c r="C87" s="193" t="s">
        <v>296</v>
      </c>
      <c r="D87" s="193">
        <f>[10]Amortizaciones!D29</f>
        <v>6408308</v>
      </c>
      <c r="E87" s="164" t="s">
        <v>297</v>
      </c>
      <c r="F87" s="162" t="s">
        <v>298</v>
      </c>
      <c r="G87" s="168">
        <v>71194674.969999999</v>
      </c>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row>
    <row r="88" spans="1:254" ht="13.5" customHeight="1">
      <c r="A88" s="43"/>
      <c r="B88" s="59" t="s">
        <v>299</v>
      </c>
      <c r="C88" s="193" t="s">
        <v>300</v>
      </c>
      <c r="D88" s="193">
        <f>[10]Amortizaciones!D30</f>
        <v>0</v>
      </c>
      <c r="E88" s="164" t="s">
        <v>301</v>
      </c>
      <c r="F88" s="162" t="s">
        <v>302</v>
      </c>
      <c r="G88" s="168">
        <v>1498641.85</v>
      </c>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c r="FK88" s="43"/>
      <c r="FL88" s="43"/>
      <c r="FM88" s="43"/>
      <c r="FN88" s="43"/>
      <c r="FO88" s="43"/>
      <c r="FP88" s="43"/>
      <c r="FQ88" s="43"/>
      <c r="FR88" s="43"/>
      <c r="FS88" s="43"/>
      <c r="FT88" s="43"/>
      <c r="FU88" s="43"/>
      <c r="FV88" s="43"/>
      <c r="FW88" s="43"/>
      <c r="FX88" s="43"/>
      <c r="FY88" s="43"/>
      <c r="FZ88" s="43"/>
      <c r="GA88" s="43"/>
      <c r="GB88" s="43"/>
      <c r="GC88" s="43"/>
      <c r="GD88" s="43"/>
      <c r="GE88" s="43"/>
      <c r="GF88" s="43"/>
      <c r="GG88" s="43"/>
      <c r="GH88" s="43"/>
      <c r="GI88" s="43"/>
      <c r="GJ88" s="43"/>
      <c r="GK88" s="43"/>
      <c r="GL88" s="43"/>
      <c r="GM88" s="43"/>
      <c r="GN88" s="43"/>
      <c r="GO88" s="43"/>
      <c r="GP88" s="43"/>
      <c r="GQ88" s="43"/>
      <c r="GR88" s="43"/>
      <c r="GS88" s="43"/>
      <c r="GT88" s="43"/>
      <c r="GU88" s="43"/>
      <c r="GV88" s="43"/>
      <c r="GW88" s="43"/>
      <c r="GX88" s="43"/>
      <c r="GY88" s="43"/>
      <c r="GZ88" s="43"/>
      <c r="HA88" s="43"/>
      <c r="HB88" s="43"/>
      <c r="HC88" s="43"/>
      <c r="HD88" s="43"/>
      <c r="HE88" s="43"/>
      <c r="HF88" s="43"/>
      <c r="HG88" s="43"/>
      <c r="HH88" s="43"/>
      <c r="HI88" s="43"/>
      <c r="HJ88" s="43"/>
      <c r="HK88" s="43"/>
      <c r="HL88" s="43"/>
      <c r="HM88" s="43"/>
      <c r="HN88" s="43"/>
      <c r="HO88" s="43"/>
      <c r="HP88" s="43"/>
      <c r="HQ88" s="43"/>
      <c r="HR88" s="43"/>
      <c r="HS88" s="43"/>
      <c r="HT88" s="43"/>
      <c r="HU88" s="43"/>
      <c r="HV88" s="43"/>
      <c r="HW88" s="43"/>
      <c r="HX88" s="43"/>
      <c r="HY88" s="43"/>
      <c r="HZ88" s="43"/>
      <c r="IA88" s="43"/>
      <c r="IB88" s="43"/>
      <c r="IC88" s="43"/>
      <c r="ID88" s="43"/>
      <c r="IE88" s="43"/>
      <c r="IF88" s="43"/>
      <c r="IG88" s="43"/>
      <c r="IH88" s="43"/>
      <c r="II88" s="43"/>
      <c r="IJ88" s="43"/>
      <c r="IK88" s="43"/>
      <c r="IL88" s="43"/>
      <c r="IM88" s="43"/>
      <c r="IN88" s="43"/>
      <c r="IO88" s="43"/>
      <c r="IP88" s="43"/>
      <c r="IQ88" s="43"/>
      <c r="IR88" s="43"/>
      <c r="IS88" s="43"/>
      <c r="IT88" s="43"/>
    </row>
    <row r="89" spans="1:254">
      <c r="A89" s="43"/>
      <c r="B89" s="59" t="s">
        <v>303</v>
      </c>
      <c r="C89" s="193" t="s">
        <v>212</v>
      </c>
      <c r="D89" s="193">
        <f>[10]Amortizaciones!D31</f>
        <v>0</v>
      </c>
      <c r="E89" s="164" t="s">
        <v>304</v>
      </c>
      <c r="F89" s="162" t="s">
        <v>305</v>
      </c>
      <c r="G89" s="168">
        <v>40650420.579999998</v>
      </c>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c r="FH89" s="43"/>
      <c r="FI89" s="43"/>
      <c r="FJ89" s="43"/>
      <c r="FK89" s="43"/>
      <c r="FL89" s="43"/>
      <c r="FM89" s="43"/>
      <c r="FN89" s="43"/>
      <c r="FO89" s="43"/>
      <c r="FP89" s="43"/>
      <c r="FQ89" s="43"/>
      <c r="FR89" s="43"/>
      <c r="FS89" s="43"/>
      <c r="FT89" s="43"/>
      <c r="FU89" s="43"/>
      <c r="FV89" s="43"/>
      <c r="FW89" s="43"/>
      <c r="FX89" s="43"/>
      <c r="FY89" s="43"/>
      <c r="FZ89" s="43"/>
      <c r="GA89" s="43"/>
      <c r="GB89" s="43"/>
      <c r="GC89" s="43"/>
      <c r="GD89" s="43"/>
      <c r="GE89" s="43"/>
      <c r="GF89" s="43"/>
      <c r="GG89" s="43"/>
      <c r="GH89" s="43"/>
      <c r="GI89" s="43"/>
      <c r="GJ89" s="43"/>
      <c r="GK89" s="43"/>
      <c r="GL89" s="43"/>
      <c r="GM89" s="43"/>
      <c r="GN89" s="43"/>
      <c r="GO89" s="43"/>
      <c r="GP89" s="43"/>
      <c r="GQ89" s="43"/>
      <c r="GR89" s="43"/>
      <c r="GS89" s="43"/>
      <c r="GT89" s="43"/>
      <c r="GU89" s="43"/>
      <c r="GV89" s="43"/>
      <c r="GW89" s="43"/>
      <c r="GX89" s="43"/>
      <c r="GY89" s="43"/>
      <c r="GZ89" s="43"/>
      <c r="HA89" s="43"/>
      <c r="HB89" s="43"/>
      <c r="HC89" s="43"/>
      <c r="HD89" s="43"/>
      <c r="HE89" s="43"/>
      <c r="HF89" s="43"/>
      <c r="HG89" s="43"/>
      <c r="HH89" s="43"/>
      <c r="HI89" s="43"/>
      <c r="HJ89" s="43"/>
      <c r="HK89" s="43"/>
      <c r="HL89" s="43"/>
      <c r="HM89" s="43"/>
      <c r="HN89" s="43"/>
      <c r="HO89" s="43"/>
      <c r="HP89" s="43"/>
      <c r="HQ89" s="43"/>
      <c r="HR89" s="43"/>
      <c r="HS89" s="43"/>
      <c r="HT89" s="43"/>
      <c r="HU89" s="43"/>
      <c r="HV89" s="43"/>
      <c r="HW89" s="43"/>
      <c r="HX89" s="43"/>
      <c r="HY89" s="43"/>
      <c r="HZ89" s="43"/>
      <c r="IA89" s="43"/>
      <c r="IB89" s="43"/>
      <c r="IC89" s="43"/>
      <c r="ID89" s="43"/>
      <c r="IE89" s="43"/>
      <c r="IF89" s="43"/>
      <c r="IG89" s="43"/>
      <c r="IH89" s="43"/>
      <c r="II89" s="43"/>
      <c r="IJ89" s="43"/>
      <c r="IK89" s="43"/>
      <c r="IL89" s="43"/>
      <c r="IM89" s="43"/>
      <c r="IN89" s="43"/>
      <c r="IO89" s="43"/>
      <c r="IP89" s="43"/>
      <c r="IQ89" s="43"/>
      <c r="IR89" s="43"/>
      <c r="IS89" s="43"/>
      <c r="IT89" s="43"/>
    </row>
    <row r="90" spans="1:254" ht="14.25" customHeight="1">
      <c r="A90" s="43"/>
      <c r="B90" s="59" t="s">
        <v>306</v>
      </c>
      <c r="C90" s="193" t="s">
        <v>228</v>
      </c>
      <c r="D90" s="193">
        <f>[10]Amortizaciones!D32</f>
        <v>0</v>
      </c>
      <c r="E90" s="164" t="s">
        <v>307</v>
      </c>
      <c r="F90" s="162" t="s">
        <v>308</v>
      </c>
      <c r="G90" s="168">
        <v>22966947.739999998</v>
      </c>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3"/>
      <c r="GS90" s="43"/>
      <c r="GT90" s="43"/>
      <c r="GU90" s="43"/>
      <c r="GV90" s="43"/>
      <c r="GW90" s="43"/>
      <c r="GX90" s="43"/>
      <c r="GY90" s="43"/>
      <c r="GZ90" s="43"/>
      <c r="HA90" s="43"/>
      <c r="HB90" s="43"/>
      <c r="HC90" s="43"/>
      <c r="HD90" s="43"/>
      <c r="HE90" s="43"/>
      <c r="HF90" s="43"/>
      <c r="HG90" s="43"/>
      <c r="HH90" s="43"/>
      <c r="HI90" s="43"/>
      <c r="HJ90" s="43"/>
      <c r="HK90" s="43"/>
      <c r="HL90" s="43"/>
      <c r="HM90" s="43"/>
      <c r="HN90" s="43"/>
      <c r="HO90" s="43"/>
      <c r="HP90" s="43"/>
      <c r="HQ90" s="43"/>
      <c r="HR90" s="43"/>
      <c r="HS90" s="43"/>
      <c r="HT90" s="43"/>
      <c r="HU90" s="43"/>
      <c r="HV90" s="43"/>
      <c r="HW90" s="43"/>
      <c r="HX90" s="43"/>
      <c r="HY90" s="43"/>
      <c r="HZ90" s="43"/>
      <c r="IA90" s="43"/>
      <c r="IB90" s="43"/>
      <c r="IC90" s="43"/>
      <c r="ID90" s="43"/>
      <c r="IE90" s="43"/>
      <c r="IF90" s="43"/>
      <c r="IG90" s="43"/>
      <c r="IH90" s="43"/>
      <c r="II90" s="43"/>
      <c r="IJ90" s="43"/>
      <c r="IK90" s="43"/>
      <c r="IL90" s="43"/>
      <c r="IM90" s="43"/>
      <c r="IN90" s="43"/>
      <c r="IO90" s="43"/>
      <c r="IP90" s="43"/>
      <c r="IQ90" s="43"/>
      <c r="IR90" s="43"/>
      <c r="IS90" s="43"/>
      <c r="IT90" s="43"/>
    </row>
    <row r="91" spans="1:254" ht="14.25" customHeight="1">
      <c r="A91" s="43"/>
      <c r="B91" s="59" t="s">
        <v>309</v>
      </c>
      <c r="C91" s="193" t="s">
        <v>310</v>
      </c>
      <c r="D91" s="193">
        <f>SUM(D80:D90)</f>
        <v>32269375</v>
      </c>
      <c r="E91" s="195" t="s">
        <v>311</v>
      </c>
      <c r="F91" s="162" t="s">
        <v>312</v>
      </c>
      <c r="G91" s="168">
        <f>6286716.43+1951936.83+1935.46</f>
        <v>8240588.7199999997</v>
      </c>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row>
    <row r="92" spans="1:254" ht="14.25" customHeight="1">
      <c r="A92" s="43"/>
      <c r="B92" s="59"/>
      <c r="C92" s="196" t="s">
        <v>313</v>
      </c>
      <c r="D92" s="193">
        <f>D77+D91</f>
        <v>194423010</v>
      </c>
      <c r="E92" s="195" t="s">
        <v>314</v>
      </c>
      <c r="F92" s="162" t="s">
        <v>315</v>
      </c>
      <c r="G92" s="168">
        <v>300574.86</v>
      </c>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c r="FF92" s="43"/>
      <c r="FG92" s="43"/>
      <c r="FH92" s="43"/>
      <c r="FI92" s="43"/>
      <c r="FJ92" s="43"/>
      <c r="FK92" s="43"/>
      <c r="FL92" s="43"/>
      <c r="FM92" s="43"/>
      <c r="FN92" s="43"/>
      <c r="FO92" s="43"/>
      <c r="FP92" s="43"/>
      <c r="FQ92" s="43"/>
      <c r="FR92" s="43"/>
      <c r="FS92" s="43"/>
      <c r="FT92" s="43"/>
      <c r="FU92" s="43"/>
      <c r="FV92" s="43"/>
      <c r="FW92" s="43"/>
      <c r="FX92" s="43"/>
      <c r="FY92" s="43"/>
      <c r="FZ92" s="43"/>
      <c r="GA92" s="43"/>
      <c r="GB92" s="43"/>
      <c r="GC92" s="43"/>
      <c r="GD92" s="43"/>
      <c r="GE92" s="43"/>
      <c r="GF92" s="43"/>
      <c r="GG92" s="43"/>
      <c r="GH92" s="43"/>
      <c r="GI92" s="43"/>
      <c r="GJ92" s="43"/>
      <c r="GK92" s="43"/>
      <c r="GL92" s="43"/>
      <c r="GM92" s="43"/>
      <c r="GN92" s="43"/>
      <c r="GO92" s="43"/>
      <c r="GP92" s="43"/>
      <c r="GQ92" s="43"/>
      <c r="GR92" s="43"/>
      <c r="GS92" s="43"/>
      <c r="GT92" s="43"/>
      <c r="GU92" s="43"/>
      <c r="GV92" s="43"/>
      <c r="GW92" s="43"/>
      <c r="GX92" s="43"/>
      <c r="GY92" s="43"/>
      <c r="GZ92" s="43"/>
      <c r="HA92" s="43"/>
      <c r="HB92" s="43"/>
      <c r="HC92" s="43"/>
      <c r="HD92" s="43"/>
      <c r="HE92" s="43"/>
      <c r="HF92" s="43"/>
      <c r="HG92" s="43"/>
      <c r="HH92" s="43"/>
      <c r="HI92" s="43"/>
      <c r="HJ92" s="43"/>
      <c r="HK92" s="43"/>
      <c r="HL92" s="43"/>
      <c r="HM92" s="43"/>
      <c r="HN92" s="43"/>
      <c r="HO92" s="43"/>
      <c r="HP92" s="43"/>
      <c r="HQ92" s="43"/>
      <c r="HR92" s="43"/>
      <c r="HS92" s="43"/>
      <c r="HT92" s="43"/>
      <c r="HU92" s="43"/>
      <c r="HV92" s="43"/>
      <c r="HW92" s="43"/>
      <c r="HX92" s="43"/>
      <c r="HY92" s="43"/>
      <c r="HZ92" s="43"/>
      <c r="IA92" s="43"/>
      <c r="IB92" s="43"/>
      <c r="IC92" s="43"/>
      <c r="ID92" s="43"/>
      <c r="IE92" s="43"/>
      <c r="IF92" s="43"/>
      <c r="IG92" s="43"/>
      <c r="IH92" s="43"/>
      <c r="II92" s="43"/>
      <c r="IJ92" s="43"/>
      <c r="IK92" s="43"/>
      <c r="IL92" s="43"/>
      <c r="IM92" s="43"/>
      <c r="IN92" s="43"/>
      <c r="IO92" s="43"/>
      <c r="IP92" s="43"/>
      <c r="IQ92" s="43"/>
      <c r="IR92" s="43"/>
      <c r="IS92" s="43"/>
      <c r="IT92" s="43"/>
    </row>
    <row r="93" spans="1:254">
      <c r="A93" s="43"/>
      <c r="B93" s="43"/>
      <c r="C93" s="191"/>
      <c r="D93" s="191"/>
      <c r="E93" s="195" t="s">
        <v>316</v>
      </c>
      <c r="F93" s="162" t="s">
        <v>317</v>
      </c>
      <c r="G93" s="168">
        <f>9300.4+51903395.5</f>
        <v>51912695.899999999</v>
      </c>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c r="FH93" s="43"/>
      <c r="FI93" s="43"/>
      <c r="FJ93" s="43"/>
      <c r="FK93" s="43"/>
      <c r="FL93" s="43"/>
      <c r="FM93" s="43"/>
      <c r="FN93" s="43"/>
      <c r="FO93" s="43"/>
      <c r="FP93" s="43"/>
      <c r="FQ93" s="43"/>
      <c r="FR93" s="43"/>
      <c r="FS93" s="43"/>
      <c r="FT93" s="43"/>
      <c r="FU93" s="43"/>
      <c r="FV93" s="43"/>
      <c r="FW93" s="43"/>
      <c r="FX93" s="43"/>
      <c r="FY93" s="43"/>
      <c r="FZ93" s="43"/>
      <c r="GA93" s="43"/>
      <c r="GB93" s="43"/>
      <c r="GC93" s="43"/>
      <c r="GD93" s="43"/>
      <c r="GE93" s="43"/>
      <c r="GF93" s="43"/>
      <c r="GG93" s="43"/>
      <c r="GH93" s="43"/>
      <c r="GI93" s="43"/>
      <c r="GJ93" s="43"/>
      <c r="GK93" s="43"/>
      <c r="GL93" s="43"/>
      <c r="GM93" s="43"/>
      <c r="GN93" s="43"/>
      <c r="GO93" s="43"/>
      <c r="GP93" s="43"/>
      <c r="GQ93" s="43"/>
      <c r="GR93" s="43"/>
      <c r="GS93" s="43"/>
      <c r="GT93" s="43"/>
      <c r="GU93" s="43"/>
      <c r="GV93" s="43"/>
      <c r="GW93" s="43"/>
      <c r="GX93" s="43"/>
      <c r="GY93" s="43"/>
      <c r="GZ93" s="43"/>
      <c r="HA93" s="43"/>
      <c r="HB93" s="43"/>
      <c r="HC93" s="43"/>
      <c r="HD93" s="43"/>
      <c r="HE93" s="43"/>
      <c r="HF93" s="43"/>
      <c r="HG93" s="43"/>
      <c r="HH93" s="43"/>
      <c r="HI93" s="43"/>
      <c r="HJ93" s="43"/>
      <c r="HK93" s="43"/>
      <c r="HL93" s="43"/>
      <c r="HM93" s="43"/>
      <c r="HN93" s="43"/>
      <c r="HO93" s="43"/>
      <c r="HP93" s="43"/>
      <c r="HQ93" s="43"/>
      <c r="HR93" s="43"/>
      <c r="HS93" s="43"/>
      <c r="HT93" s="43"/>
      <c r="HU93" s="43"/>
      <c r="HV93" s="43"/>
      <c r="HW93" s="43"/>
      <c r="HX93" s="43"/>
      <c r="HY93" s="43"/>
      <c r="HZ93" s="43"/>
      <c r="IA93" s="43"/>
      <c r="IB93" s="43"/>
      <c r="IC93" s="43"/>
      <c r="ID93" s="43"/>
      <c r="IE93" s="43"/>
      <c r="IF93" s="43"/>
      <c r="IG93" s="43"/>
      <c r="IH93" s="43"/>
      <c r="II93" s="43"/>
      <c r="IJ93" s="43"/>
      <c r="IK93" s="43"/>
      <c r="IL93" s="43"/>
      <c r="IM93" s="43"/>
      <c r="IN93" s="43"/>
      <c r="IO93" s="43"/>
      <c r="IP93" s="43"/>
      <c r="IQ93" s="43"/>
      <c r="IR93" s="43"/>
      <c r="IS93" s="43"/>
      <c r="IT93" s="43"/>
    </row>
    <row r="94" spans="1:254">
      <c r="A94" s="43"/>
      <c r="B94" s="43"/>
      <c r="C94" s="191"/>
      <c r="D94" s="191"/>
      <c r="E94" s="195" t="s">
        <v>318</v>
      </c>
      <c r="F94" s="162" t="s">
        <v>319</v>
      </c>
      <c r="G94" s="170">
        <v>11320934</v>
      </c>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c r="FF94" s="43"/>
      <c r="FG94" s="43"/>
      <c r="FH94" s="43"/>
      <c r="FI94" s="43"/>
      <c r="FJ94" s="43"/>
      <c r="FK94" s="43"/>
      <c r="FL94" s="43"/>
      <c r="FM94" s="43"/>
      <c r="FN94" s="43"/>
      <c r="FO94" s="43"/>
      <c r="FP94" s="43"/>
      <c r="FQ94" s="43"/>
      <c r="FR94" s="43"/>
      <c r="FS94" s="43"/>
      <c r="FT94" s="43"/>
      <c r="FU94" s="43"/>
      <c r="FV94" s="43"/>
      <c r="FW94" s="43"/>
      <c r="FX94" s="43"/>
      <c r="FY94" s="43"/>
      <c r="FZ94" s="43"/>
      <c r="GA94" s="43"/>
      <c r="GB94" s="43"/>
      <c r="GC94" s="43"/>
      <c r="GD94" s="43"/>
      <c r="GE94" s="43"/>
      <c r="GF94" s="43"/>
      <c r="GG94" s="43"/>
      <c r="GH94" s="43"/>
      <c r="GI94" s="43"/>
      <c r="GJ94" s="43"/>
      <c r="GK94" s="43"/>
      <c r="GL94" s="43"/>
      <c r="GM94" s="43"/>
      <c r="GN94" s="43"/>
      <c r="GO94" s="43"/>
      <c r="GP94" s="43"/>
      <c r="GQ94" s="43"/>
      <c r="GR94" s="43"/>
      <c r="GS94" s="43"/>
      <c r="GT94" s="43"/>
      <c r="GU94" s="43"/>
      <c r="GV94" s="43"/>
      <c r="GW94" s="43"/>
      <c r="GX94" s="43"/>
      <c r="GY94" s="43"/>
      <c r="GZ94" s="43"/>
      <c r="HA94" s="43"/>
      <c r="HB94" s="43"/>
      <c r="HC94" s="43"/>
      <c r="HD94" s="43"/>
      <c r="HE94" s="43"/>
      <c r="HF94" s="43"/>
      <c r="HG94" s="43"/>
      <c r="HH94" s="43"/>
      <c r="HI94" s="43"/>
      <c r="HJ94" s="43"/>
      <c r="HK94" s="43"/>
      <c r="HL94" s="43"/>
      <c r="HM94" s="43"/>
      <c r="HN94" s="43"/>
      <c r="HO94" s="43"/>
      <c r="HP94" s="43"/>
      <c r="HQ94" s="43"/>
      <c r="HR94" s="43"/>
      <c r="HS94" s="43"/>
      <c r="HT94" s="43"/>
      <c r="HU94" s="43"/>
      <c r="HV94" s="43"/>
      <c r="HW94" s="43"/>
      <c r="HX94" s="43"/>
      <c r="HY94" s="43"/>
      <c r="HZ94" s="43"/>
      <c r="IA94" s="43"/>
      <c r="IB94" s="43"/>
      <c r="IC94" s="43"/>
      <c r="ID94" s="43"/>
      <c r="IE94" s="43"/>
      <c r="IF94" s="43"/>
      <c r="IG94" s="43"/>
      <c r="IH94" s="43"/>
      <c r="II94" s="43"/>
      <c r="IJ94" s="43"/>
      <c r="IK94" s="43"/>
      <c r="IL94" s="43"/>
      <c r="IM94" s="43"/>
      <c r="IN94" s="43"/>
      <c r="IO94" s="43"/>
      <c r="IP94" s="43"/>
      <c r="IQ94" s="43"/>
      <c r="IR94" s="43"/>
      <c r="IS94" s="43"/>
      <c r="IT94" s="43"/>
    </row>
    <row r="95" spans="1:254" ht="13.5" customHeight="1" thickBot="1">
      <c r="A95" s="43"/>
      <c r="B95" s="43"/>
      <c r="C95" s="191"/>
      <c r="D95" s="191"/>
      <c r="E95" s="161"/>
      <c r="F95" s="171" t="s">
        <v>320</v>
      </c>
      <c r="G95" s="172">
        <f>SUM(G80:G94)</f>
        <v>355510267.56</v>
      </c>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3"/>
      <c r="GS95" s="43"/>
      <c r="GT95" s="43"/>
      <c r="GU95" s="43"/>
      <c r="GV95" s="43"/>
      <c r="GW95" s="43"/>
      <c r="GX95" s="43"/>
      <c r="GY95" s="43"/>
      <c r="GZ95" s="43"/>
      <c r="HA95" s="43"/>
      <c r="HB95" s="43"/>
      <c r="HC95" s="43"/>
      <c r="HD95" s="43"/>
      <c r="HE95" s="43"/>
      <c r="HF95" s="43"/>
      <c r="HG95" s="43"/>
      <c r="HH95" s="43"/>
      <c r="HI95" s="43"/>
      <c r="HJ95" s="43"/>
      <c r="HK95" s="43"/>
      <c r="HL95" s="43"/>
      <c r="HM95" s="43"/>
      <c r="HN95" s="43"/>
      <c r="HO95" s="43"/>
      <c r="HP95" s="43"/>
      <c r="HQ95" s="43"/>
      <c r="HR95" s="43"/>
      <c r="HS95" s="43"/>
      <c r="HT95" s="43"/>
      <c r="HU95" s="43"/>
      <c r="HV95" s="43"/>
      <c r="HW95" s="43"/>
      <c r="HX95" s="43"/>
      <c r="HY95" s="43"/>
      <c r="HZ95" s="43"/>
      <c r="IA95" s="43"/>
      <c r="IB95" s="43"/>
      <c r="IC95" s="43"/>
      <c r="ID95" s="43"/>
      <c r="IE95" s="43"/>
      <c r="IF95" s="43"/>
      <c r="IG95" s="43"/>
      <c r="IH95" s="43"/>
      <c r="II95" s="43"/>
      <c r="IJ95" s="43"/>
      <c r="IK95" s="43"/>
      <c r="IL95" s="43"/>
      <c r="IM95" s="43"/>
      <c r="IN95" s="43"/>
      <c r="IO95" s="43"/>
      <c r="IP95" s="43"/>
      <c r="IQ95" s="43"/>
      <c r="IR95" s="43"/>
      <c r="IS95" s="43"/>
      <c r="IT95" s="43"/>
    </row>
    <row r="96" spans="1:254">
      <c r="A96" s="43"/>
      <c r="B96" s="43"/>
      <c r="C96" s="191"/>
      <c r="D96" s="191"/>
      <c r="E96" s="195" t="s">
        <v>321</v>
      </c>
      <c r="F96" s="165" t="s">
        <v>322</v>
      </c>
      <c r="G96" s="166">
        <v>27660383.489999998</v>
      </c>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3"/>
      <c r="GS96" s="43"/>
      <c r="GT96" s="43"/>
      <c r="GU96" s="43"/>
      <c r="GV96" s="43"/>
      <c r="GW96" s="43"/>
      <c r="GX96" s="43"/>
      <c r="GY96" s="43"/>
      <c r="GZ96" s="43"/>
      <c r="HA96" s="43"/>
      <c r="HB96" s="43"/>
      <c r="HC96" s="43"/>
      <c r="HD96" s="43"/>
      <c r="HE96" s="43"/>
      <c r="HF96" s="43"/>
      <c r="HG96" s="43"/>
      <c r="HH96" s="43"/>
      <c r="HI96" s="43"/>
      <c r="HJ96" s="43"/>
      <c r="HK96" s="43"/>
      <c r="HL96" s="43"/>
      <c r="HM96" s="43"/>
      <c r="HN96" s="43"/>
      <c r="HO96" s="43"/>
      <c r="HP96" s="43"/>
      <c r="HQ96" s="43"/>
      <c r="HR96" s="43"/>
      <c r="HS96" s="43"/>
      <c r="HT96" s="43"/>
      <c r="HU96" s="43"/>
      <c r="HV96" s="43"/>
      <c r="HW96" s="43"/>
      <c r="HX96" s="43"/>
      <c r="HY96" s="43"/>
      <c r="HZ96" s="43"/>
      <c r="IA96" s="43"/>
      <c r="IB96" s="43"/>
      <c r="IC96" s="43"/>
      <c r="ID96" s="43"/>
      <c r="IE96" s="43"/>
      <c r="IF96" s="43"/>
      <c r="IG96" s="43"/>
      <c r="IH96" s="43"/>
      <c r="II96" s="43"/>
      <c r="IJ96" s="43"/>
      <c r="IK96" s="43"/>
      <c r="IL96" s="43"/>
      <c r="IM96" s="43"/>
      <c r="IN96" s="43"/>
      <c r="IO96" s="43"/>
      <c r="IP96" s="43"/>
      <c r="IQ96" s="43"/>
      <c r="IR96" s="43"/>
      <c r="IS96" s="43"/>
      <c r="IT96" s="43"/>
    </row>
    <row r="97" spans="1:254">
      <c r="A97" s="43"/>
      <c r="B97" s="43"/>
      <c r="C97" s="191"/>
      <c r="D97" s="191"/>
      <c r="E97" s="195" t="s">
        <v>323</v>
      </c>
      <c r="F97" s="162" t="s">
        <v>324</v>
      </c>
      <c r="G97" s="168">
        <v>22472156.890000001</v>
      </c>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c r="IR97" s="43"/>
      <c r="IS97" s="43"/>
      <c r="IT97" s="43"/>
    </row>
    <row r="98" spans="1:254">
      <c r="A98" s="43"/>
      <c r="B98" s="43"/>
      <c r="C98" s="191"/>
      <c r="D98" s="191"/>
      <c r="E98" s="195" t="s">
        <v>325</v>
      </c>
      <c r="F98" s="162" t="s">
        <v>326</v>
      </c>
      <c r="G98" s="168">
        <v>27458.85</v>
      </c>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c r="IN98" s="43"/>
      <c r="IO98" s="43"/>
      <c r="IP98" s="43"/>
      <c r="IQ98" s="43"/>
      <c r="IR98" s="43"/>
      <c r="IS98" s="43"/>
      <c r="IT98" s="43"/>
    </row>
    <row r="99" spans="1:254">
      <c r="A99" s="43"/>
      <c r="B99" s="43"/>
      <c r="C99" s="191"/>
      <c r="D99" s="191"/>
      <c r="E99" s="195" t="s">
        <v>327</v>
      </c>
      <c r="F99" s="162" t="s">
        <v>328</v>
      </c>
      <c r="G99" s="168">
        <v>13391319.09</v>
      </c>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43"/>
      <c r="FK99" s="43"/>
      <c r="FL99" s="43"/>
      <c r="FM99" s="43"/>
      <c r="FN99" s="43"/>
      <c r="FO99" s="43"/>
      <c r="FP99" s="43"/>
      <c r="FQ99" s="43"/>
      <c r="FR99" s="43"/>
      <c r="FS99" s="43"/>
      <c r="FT99" s="43"/>
      <c r="FU99" s="43"/>
      <c r="FV99" s="43"/>
      <c r="FW99" s="43"/>
      <c r="FX99" s="43"/>
      <c r="FY99" s="43"/>
      <c r="FZ99" s="43"/>
      <c r="GA99" s="43"/>
      <c r="GB99" s="43"/>
      <c r="GC99" s="43"/>
      <c r="GD99" s="43"/>
      <c r="GE99" s="43"/>
      <c r="GF99" s="43"/>
      <c r="GG99" s="43"/>
      <c r="GH99" s="43"/>
      <c r="GI99" s="43"/>
      <c r="GJ99" s="43"/>
      <c r="GK99" s="43"/>
      <c r="GL99" s="43"/>
      <c r="GM99" s="43"/>
      <c r="GN99" s="43"/>
      <c r="GO99" s="43"/>
      <c r="GP99" s="43"/>
      <c r="GQ99" s="43"/>
      <c r="GR99" s="43"/>
      <c r="GS99" s="43"/>
      <c r="GT99" s="43"/>
      <c r="GU99" s="43"/>
      <c r="GV99" s="43"/>
      <c r="GW99" s="43"/>
      <c r="GX99" s="43"/>
      <c r="GY99" s="43"/>
      <c r="GZ99" s="43"/>
      <c r="HA99" s="43"/>
      <c r="HB99" s="43"/>
      <c r="HC99" s="43"/>
      <c r="HD99" s="43"/>
      <c r="HE99" s="43"/>
      <c r="HF99" s="43"/>
      <c r="HG99" s="43"/>
      <c r="HH99" s="43"/>
      <c r="HI99" s="43"/>
      <c r="HJ99" s="43"/>
      <c r="HK99" s="43"/>
      <c r="HL99" s="43"/>
      <c r="HM99" s="43"/>
      <c r="HN99" s="43"/>
      <c r="HO99" s="43"/>
      <c r="HP99" s="43"/>
      <c r="HQ99" s="43"/>
      <c r="HR99" s="43"/>
      <c r="HS99" s="43"/>
      <c r="HT99" s="43"/>
      <c r="HU99" s="43"/>
      <c r="HV99" s="43"/>
      <c r="HW99" s="43"/>
      <c r="HX99" s="43"/>
      <c r="HY99" s="43"/>
      <c r="HZ99" s="43"/>
      <c r="IA99" s="43"/>
      <c r="IB99" s="43"/>
      <c r="IC99" s="43"/>
      <c r="ID99" s="43"/>
      <c r="IE99" s="43"/>
      <c r="IF99" s="43"/>
      <c r="IG99" s="43"/>
      <c r="IH99" s="43"/>
      <c r="II99" s="43"/>
      <c r="IJ99" s="43"/>
      <c r="IK99" s="43"/>
      <c r="IL99" s="43"/>
      <c r="IM99" s="43"/>
      <c r="IN99" s="43"/>
      <c r="IO99" s="43"/>
      <c r="IP99" s="43"/>
      <c r="IQ99" s="43"/>
      <c r="IR99" s="43"/>
      <c r="IS99" s="43"/>
      <c r="IT99" s="43"/>
    </row>
    <row r="100" spans="1:254">
      <c r="A100" s="43"/>
      <c r="B100" s="43"/>
      <c r="C100" s="191"/>
      <c r="D100" s="191"/>
      <c r="E100" s="195" t="s">
        <v>329</v>
      </c>
      <c r="F100" s="162" t="s">
        <v>330</v>
      </c>
      <c r="G100" s="170">
        <v>2020649</v>
      </c>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c r="FH100" s="43"/>
      <c r="FI100" s="43"/>
      <c r="FJ100" s="43"/>
      <c r="FK100" s="43"/>
      <c r="FL100" s="43"/>
      <c r="FM100" s="43"/>
      <c r="FN100" s="43"/>
      <c r="FO100" s="43"/>
      <c r="FP100" s="43"/>
      <c r="FQ100" s="43"/>
      <c r="FR100" s="43"/>
      <c r="FS100" s="43"/>
      <c r="FT100" s="43"/>
      <c r="FU100" s="43"/>
      <c r="FV100" s="43"/>
      <c r="FW100" s="43"/>
      <c r="FX100" s="43"/>
      <c r="FY100" s="43"/>
      <c r="FZ100" s="43"/>
      <c r="GA100" s="43"/>
      <c r="GB100" s="43"/>
      <c r="GC100" s="43"/>
      <c r="GD100" s="43"/>
      <c r="GE100" s="43"/>
      <c r="GF100" s="43"/>
      <c r="GG100" s="43"/>
      <c r="GH100" s="43"/>
      <c r="GI100" s="43"/>
      <c r="GJ100" s="43"/>
      <c r="GK100" s="43"/>
      <c r="GL100" s="43"/>
      <c r="GM100" s="43"/>
      <c r="GN100" s="43"/>
      <c r="GO100" s="43"/>
      <c r="GP100" s="43"/>
      <c r="GQ100" s="43"/>
      <c r="GR100" s="43"/>
      <c r="GS100" s="43"/>
      <c r="GT100" s="43"/>
      <c r="GU100" s="43"/>
      <c r="GV100" s="43"/>
      <c r="GW100" s="43"/>
      <c r="GX100" s="43"/>
      <c r="GY100" s="43"/>
      <c r="GZ100" s="43"/>
      <c r="HA100" s="43"/>
      <c r="HB100" s="43"/>
      <c r="HC100" s="43"/>
      <c r="HD100" s="43"/>
      <c r="HE100" s="43"/>
      <c r="HF100" s="43"/>
      <c r="HG100" s="43"/>
      <c r="HH100" s="43"/>
      <c r="HI100" s="43"/>
      <c r="HJ100" s="43"/>
      <c r="HK100" s="43"/>
      <c r="HL100" s="43"/>
      <c r="HM100" s="43"/>
      <c r="HN100" s="43"/>
      <c r="HO100" s="43"/>
      <c r="HP100" s="43"/>
      <c r="HQ100" s="43"/>
      <c r="HR100" s="43"/>
      <c r="HS100" s="43"/>
      <c r="HT100" s="43"/>
      <c r="HU100" s="43"/>
      <c r="HV100" s="43"/>
      <c r="HW100" s="43"/>
      <c r="HX100" s="43"/>
      <c r="HY100" s="43"/>
      <c r="HZ100" s="43"/>
      <c r="IA100" s="43"/>
      <c r="IB100" s="43"/>
      <c r="IC100" s="43"/>
      <c r="ID100" s="43"/>
      <c r="IE100" s="43"/>
      <c r="IF100" s="43"/>
      <c r="IG100" s="43"/>
      <c r="IH100" s="43"/>
      <c r="II100" s="43"/>
      <c r="IJ100" s="43"/>
      <c r="IK100" s="43"/>
      <c r="IL100" s="43"/>
      <c r="IM100" s="43"/>
      <c r="IN100" s="43"/>
      <c r="IO100" s="43"/>
      <c r="IP100" s="43"/>
      <c r="IQ100" s="43"/>
      <c r="IR100" s="43"/>
      <c r="IS100" s="43"/>
      <c r="IT100" s="43"/>
    </row>
    <row r="101" spans="1:254" ht="12.75" customHeight="1" thickBot="1">
      <c r="A101" s="43"/>
      <c r="B101" s="43"/>
      <c r="C101" s="191"/>
      <c r="D101" s="191"/>
      <c r="E101" s="161"/>
      <c r="F101" s="171" t="s">
        <v>331</v>
      </c>
      <c r="G101" s="172">
        <f>SUM(G96:G100)</f>
        <v>65571967.319999993</v>
      </c>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3"/>
      <c r="ET101" s="43"/>
      <c r="EU101" s="43"/>
      <c r="EV101" s="43"/>
      <c r="EW101" s="43"/>
      <c r="EX101" s="43"/>
      <c r="EY101" s="43"/>
      <c r="EZ101" s="43"/>
      <c r="FA101" s="43"/>
      <c r="FB101" s="43"/>
      <c r="FC101" s="43"/>
      <c r="FD101" s="43"/>
      <c r="FE101" s="43"/>
      <c r="FF101" s="43"/>
      <c r="FG101" s="43"/>
      <c r="FH101" s="43"/>
      <c r="FI101" s="43"/>
      <c r="FJ101" s="43"/>
      <c r="FK101" s="43"/>
      <c r="FL101" s="43"/>
      <c r="FM101" s="43"/>
      <c r="FN101" s="43"/>
      <c r="FO101" s="43"/>
      <c r="FP101" s="43"/>
      <c r="FQ101" s="43"/>
      <c r="FR101" s="43"/>
      <c r="FS101" s="43"/>
      <c r="FT101" s="43"/>
      <c r="FU101" s="43"/>
      <c r="FV101" s="43"/>
      <c r="FW101" s="43"/>
      <c r="FX101" s="43"/>
      <c r="FY101" s="43"/>
      <c r="FZ101" s="43"/>
      <c r="GA101" s="43"/>
      <c r="GB101" s="43"/>
      <c r="GC101" s="43"/>
      <c r="GD101" s="43"/>
      <c r="GE101" s="43"/>
      <c r="GF101" s="43"/>
      <c r="GG101" s="43"/>
      <c r="GH101" s="43"/>
      <c r="GI101" s="43"/>
      <c r="GJ101" s="43"/>
      <c r="GK101" s="43"/>
      <c r="GL101" s="43"/>
      <c r="GM101" s="43"/>
      <c r="GN101" s="43"/>
      <c r="GO101" s="43"/>
      <c r="GP101" s="43"/>
      <c r="GQ101" s="43"/>
      <c r="GR101" s="43"/>
      <c r="GS101" s="43"/>
      <c r="GT101" s="43"/>
      <c r="GU101" s="43"/>
      <c r="GV101" s="43"/>
      <c r="GW101" s="43"/>
      <c r="GX101" s="43"/>
      <c r="GY101" s="43"/>
      <c r="GZ101" s="43"/>
      <c r="HA101" s="43"/>
      <c r="HB101" s="43"/>
      <c r="HC101" s="43"/>
      <c r="HD101" s="43"/>
      <c r="HE101" s="43"/>
      <c r="HF101" s="43"/>
      <c r="HG101" s="43"/>
      <c r="HH101" s="43"/>
      <c r="HI101" s="43"/>
      <c r="HJ101" s="43"/>
      <c r="HK101" s="43"/>
      <c r="HL101" s="43"/>
      <c r="HM101" s="43"/>
      <c r="HN101" s="43"/>
      <c r="HO101" s="43"/>
      <c r="HP101" s="43"/>
      <c r="HQ101" s="43"/>
      <c r="HR101" s="43"/>
      <c r="HS101" s="43"/>
      <c r="HT101" s="43"/>
      <c r="HU101" s="43"/>
      <c r="HV101" s="43"/>
      <c r="HW101" s="43"/>
      <c r="HX101" s="43"/>
      <c r="HY101" s="43"/>
      <c r="HZ101" s="43"/>
      <c r="IA101" s="43"/>
      <c r="IB101" s="43"/>
      <c r="IC101" s="43"/>
      <c r="ID101" s="43"/>
      <c r="IE101" s="43"/>
      <c r="IF101" s="43"/>
      <c r="IG101" s="43"/>
      <c r="IH101" s="43"/>
      <c r="II101" s="43"/>
      <c r="IJ101" s="43"/>
      <c r="IK101" s="43"/>
      <c r="IL101" s="43"/>
      <c r="IM101" s="43"/>
      <c r="IN101" s="43"/>
      <c r="IO101" s="43"/>
      <c r="IP101" s="43"/>
      <c r="IQ101" s="43"/>
      <c r="IR101" s="43"/>
      <c r="IS101" s="43"/>
      <c r="IT101" s="43"/>
    </row>
    <row r="102" spans="1:254" ht="12.75" customHeight="1" thickBot="1">
      <c r="A102" s="43"/>
      <c r="B102" s="43"/>
      <c r="C102" s="191"/>
      <c r="D102" s="191"/>
      <c r="E102" s="195"/>
      <c r="F102" s="197" t="s">
        <v>332</v>
      </c>
      <c r="G102" s="198">
        <f>[10]Amortizaciones!D19</f>
        <v>162153635</v>
      </c>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c r="IR102" s="43"/>
      <c r="IS102" s="43"/>
      <c r="IT102" s="43"/>
    </row>
    <row r="103" spans="1:254">
      <c r="A103" s="43"/>
      <c r="B103" s="43"/>
      <c r="C103" s="191"/>
      <c r="D103" s="191"/>
      <c r="E103" s="195" t="s">
        <v>333</v>
      </c>
      <c r="F103" s="162" t="s">
        <v>334</v>
      </c>
      <c r="G103" s="166"/>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c r="IK103" s="43"/>
      <c r="IL103" s="43"/>
      <c r="IM103" s="43"/>
      <c r="IN103" s="43"/>
      <c r="IO103" s="43"/>
      <c r="IP103" s="43"/>
      <c r="IQ103" s="43"/>
      <c r="IR103" s="43"/>
      <c r="IS103" s="43"/>
      <c r="IT103" s="43"/>
    </row>
    <row r="104" spans="1:254">
      <c r="A104" s="43"/>
      <c r="B104" s="43"/>
      <c r="C104" s="191"/>
      <c r="D104" s="191"/>
      <c r="E104" s="195" t="s">
        <v>335</v>
      </c>
      <c r="F104" s="199" t="s">
        <v>336</v>
      </c>
      <c r="G104" s="168">
        <v>0</v>
      </c>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3"/>
      <c r="GS104" s="43"/>
      <c r="GT104" s="43"/>
      <c r="GU104" s="43"/>
      <c r="GV104" s="43"/>
      <c r="GW104" s="43"/>
      <c r="GX104" s="43"/>
      <c r="GY104" s="43"/>
      <c r="GZ104" s="43"/>
      <c r="HA104" s="43"/>
      <c r="HB104" s="43"/>
      <c r="HC104" s="43"/>
      <c r="HD104" s="43"/>
      <c r="HE104" s="43"/>
      <c r="HF104" s="43"/>
      <c r="HG104" s="43"/>
      <c r="HH104" s="43"/>
      <c r="HI104" s="43"/>
      <c r="HJ104" s="43"/>
      <c r="HK104" s="43"/>
      <c r="HL104" s="43"/>
      <c r="HM104" s="43"/>
      <c r="HN104" s="43"/>
      <c r="HO104" s="43"/>
      <c r="HP104" s="43"/>
      <c r="HQ104" s="43"/>
      <c r="HR104" s="43"/>
      <c r="HS104" s="43"/>
      <c r="HT104" s="43"/>
      <c r="HU104" s="43"/>
      <c r="HV104" s="43"/>
      <c r="HW104" s="43"/>
      <c r="HX104" s="43"/>
      <c r="HY104" s="43"/>
      <c r="HZ104" s="43"/>
      <c r="IA104" s="43"/>
      <c r="IB104" s="43"/>
      <c r="IC104" s="43"/>
      <c r="ID104" s="43"/>
      <c r="IE104" s="43"/>
      <c r="IF104" s="43"/>
      <c r="IG104" s="43"/>
      <c r="IH104" s="43"/>
      <c r="II104" s="43"/>
      <c r="IJ104" s="43"/>
      <c r="IK104" s="43"/>
      <c r="IL104" s="43"/>
      <c r="IM104" s="43"/>
      <c r="IN104" s="43"/>
      <c r="IO104" s="43"/>
      <c r="IP104" s="43"/>
      <c r="IQ104" s="43"/>
      <c r="IR104" s="43"/>
      <c r="IS104" s="43"/>
      <c r="IT104" s="43"/>
    </row>
    <row r="105" spans="1:254" ht="14.25" customHeight="1" thickBot="1">
      <c r="A105" s="43"/>
      <c r="B105" s="43"/>
      <c r="C105" s="191"/>
      <c r="D105" s="191"/>
      <c r="E105" s="161"/>
      <c r="F105" s="171" t="s">
        <v>337</v>
      </c>
      <c r="G105" s="172">
        <f>SUM(G103:G104)</f>
        <v>0</v>
      </c>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c r="GQ105" s="43"/>
      <c r="GR105" s="43"/>
      <c r="GS105" s="43"/>
      <c r="GT105" s="43"/>
      <c r="GU105" s="43"/>
      <c r="GV105" s="43"/>
      <c r="GW105" s="43"/>
      <c r="GX105" s="43"/>
      <c r="GY105" s="43"/>
      <c r="GZ105" s="43"/>
      <c r="HA105" s="43"/>
      <c r="HB105" s="43"/>
      <c r="HC105" s="43"/>
      <c r="HD105" s="43"/>
      <c r="HE105" s="43"/>
      <c r="HF105" s="43"/>
      <c r="HG105" s="43"/>
      <c r="HH105" s="43"/>
      <c r="HI105" s="43"/>
      <c r="HJ105" s="43"/>
      <c r="HK105" s="43"/>
      <c r="HL105" s="43"/>
      <c r="HM105" s="43"/>
      <c r="HN105" s="43"/>
      <c r="HO105" s="43"/>
      <c r="HP105" s="43"/>
      <c r="HQ105" s="43"/>
      <c r="HR105" s="43"/>
      <c r="HS105" s="43"/>
      <c r="HT105" s="43"/>
      <c r="HU105" s="43"/>
      <c r="HV105" s="43"/>
      <c r="HW105" s="43"/>
      <c r="HX105" s="43"/>
      <c r="HY105" s="43"/>
      <c r="HZ105" s="43"/>
      <c r="IA105" s="43"/>
      <c r="IB105" s="43"/>
      <c r="IC105" s="43"/>
      <c r="ID105" s="43"/>
      <c r="IE105" s="43"/>
      <c r="IF105" s="43"/>
      <c r="IG105" s="43"/>
      <c r="IH105" s="43"/>
      <c r="II105" s="43"/>
      <c r="IJ105" s="43"/>
      <c r="IK105" s="43"/>
      <c r="IL105" s="43"/>
      <c r="IM105" s="43"/>
      <c r="IN105" s="43"/>
      <c r="IO105" s="43"/>
      <c r="IP105" s="43"/>
      <c r="IQ105" s="43"/>
      <c r="IR105" s="43"/>
      <c r="IS105" s="43"/>
      <c r="IT105" s="43"/>
    </row>
    <row r="106" spans="1:254" ht="14.25" customHeight="1" thickBot="1">
      <c r="A106" s="43"/>
      <c r="B106" s="47"/>
      <c r="C106" s="200"/>
      <c r="D106" s="200"/>
      <c r="E106" s="195"/>
      <c r="F106" s="201" t="s">
        <v>338</v>
      </c>
      <c r="G106" s="202">
        <f>G19+G27+G32+G48+G57+G79+G95+G101+G102+G105</f>
        <v>11753138921.459999</v>
      </c>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c r="GQ106" s="43"/>
      <c r="GR106" s="43"/>
      <c r="GS106" s="43"/>
      <c r="GT106" s="43"/>
      <c r="GU106" s="43"/>
      <c r="GV106" s="43"/>
      <c r="GW106" s="43"/>
      <c r="GX106" s="43"/>
      <c r="GY106" s="43"/>
      <c r="GZ106" s="43"/>
      <c r="HA106" s="43"/>
      <c r="HB106" s="43"/>
      <c r="HC106" s="43"/>
      <c r="HD106" s="43"/>
      <c r="HE106" s="43"/>
      <c r="HF106" s="43"/>
      <c r="HG106" s="43"/>
      <c r="HH106" s="43"/>
      <c r="HI106" s="43"/>
      <c r="HJ106" s="43"/>
      <c r="HK106" s="43"/>
      <c r="HL106" s="43"/>
      <c r="HM106" s="43"/>
      <c r="HN106" s="43"/>
      <c r="HO106" s="43"/>
      <c r="HP106" s="43"/>
      <c r="HQ106" s="43"/>
      <c r="HR106" s="43"/>
      <c r="HS106" s="43"/>
      <c r="HT106" s="43"/>
      <c r="HU106" s="43"/>
      <c r="HV106" s="43"/>
      <c r="HW106" s="43"/>
      <c r="HX106" s="43"/>
      <c r="HY106" s="43"/>
      <c r="HZ106" s="43"/>
      <c r="IA106" s="43"/>
      <c r="IB106" s="43"/>
      <c r="IC106" s="43"/>
      <c r="ID106" s="43"/>
      <c r="IE106" s="43"/>
      <c r="IF106" s="43"/>
      <c r="IG106" s="43"/>
      <c r="IH106" s="43"/>
      <c r="II106" s="43"/>
      <c r="IJ106" s="43"/>
      <c r="IK106" s="43"/>
      <c r="IL106" s="43"/>
      <c r="IM106" s="43"/>
      <c r="IN106" s="43"/>
      <c r="IO106" s="43"/>
      <c r="IP106" s="43"/>
      <c r="IQ106" s="43"/>
      <c r="IR106" s="43"/>
      <c r="IS106" s="43"/>
      <c r="IT106" s="43"/>
    </row>
    <row r="107" spans="1:254" ht="5.25" customHeight="1">
      <c r="A107" s="43"/>
      <c r="B107" s="47"/>
      <c r="C107" s="200"/>
      <c r="D107" s="200"/>
      <c r="E107" s="161"/>
      <c r="F107" s="203"/>
      <c r="G107" s="204"/>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c r="GQ107" s="43"/>
      <c r="GR107" s="43"/>
      <c r="GS107" s="43"/>
      <c r="GT107" s="43"/>
      <c r="GU107" s="43"/>
      <c r="GV107" s="43"/>
      <c r="GW107" s="43"/>
      <c r="GX107" s="43"/>
      <c r="GY107" s="43"/>
      <c r="GZ107" s="43"/>
      <c r="HA107" s="43"/>
      <c r="HB107" s="43"/>
      <c r="HC107" s="43"/>
      <c r="HD107" s="43"/>
      <c r="HE107" s="43"/>
      <c r="HF107" s="43"/>
      <c r="HG107" s="43"/>
      <c r="HH107" s="43"/>
      <c r="HI107" s="43"/>
      <c r="HJ107" s="43"/>
      <c r="HK107" s="43"/>
      <c r="HL107" s="43"/>
      <c r="HM107" s="43"/>
      <c r="HN107" s="43"/>
      <c r="HO107" s="43"/>
      <c r="HP107" s="43"/>
      <c r="HQ107" s="43"/>
      <c r="HR107" s="43"/>
      <c r="HS107" s="43"/>
      <c r="HT107" s="43"/>
      <c r="HU107" s="43"/>
      <c r="HV107" s="43"/>
      <c r="HW107" s="43"/>
      <c r="HX107" s="43"/>
      <c r="HY107" s="43"/>
      <c r="HZ107" s="43"/>
      <c r="IA107" s="43"/>
      <c r="IB107" s="43"/>
      <c r="IC107" s="43"/>
      <c r="ID107" s="43"/>
      <c r="IE107" s="43"/>
      <c r="IF107" s="43"/>
      <c r="IG107" s="43"/>
      <c r="IH107" s="43"/>
      <c r="II107" s="43"/>
      <c r="IJ107" s="43"/>
      <c r="IK107" s="43"/>
      <c r="IL107" s="43"/>
      <c r="IM107" s="43"/>
      <c r="IN107" s="43"/>
      <c r="IO107" s="43"/>
      <c r="IP107" s="43"/>
      <c r="IQ107" s="43"/>
      <c r="IR107" s="43"/>
      <c r="IS107" s="43"/>
      <c r="IT107" s="43"/>
    </row>
    <row r="108" spans="1:254" ht="5.25" customHeight="1" thickBot="1">
      <c r="A108" s="43"/>
      <c r="B108" s="47"/>
      <c r="C108" s="200"/>
      <c r="D108" s="200"/>
      <c r="E108" s="161"/>
      <c r="F108" s="161"/>
      <c r="G108" s="161"/>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43"/>
      <c r="FH108" s="43"/>
      <c r="FI108" s="43"/>
      <c r="FJ108" s="43"/>
      <c r="FK108" s="43"/>
      <c r="FL108" s="43"/>
      <c r="FM108" s="43"/>
      <c r="FN108" s="43"/>
      <c r="FO108" s="43"/>
      <c r="FP108" s="43"/>
      <c r="FQ108" s="43"/>
      <c r="FR108" s="43"/>
      <c r="FS108" s="43"/>
      <c r="FT108" s="43"/>
      <c r="FU108" s="43"/>
      <c r="FV108" s="43"/>
      <c r="FW108" s="43"/>
      <c r="FX108" s="43"/>
      <c r="FY108" s="43"/>
      <c r="FZ108" s="43"/>
      <c r="GA108" s="43"/>
      <c r="GB108" s="43"/>
      <c r="GC108" s="43"/>
      <c r="GD108" s="43"/>
      <c r="GE108" s="43"/>
      <c r="GF108" s="43"/>
      <c r="GG108" s="43"/>
      <c r="GH108" s="43"/>
      <c r="GI108" s="43"/>
      <c r="GJ108" s="43"/>
      <c r="GK108" s="43"/>
      <c r="GL108" s="43"/>
      <c r="GM108" s="43"/>
      <c r="GN108" s="43"/>
      <c r="GO108" s="43"/>
      <c r="GP108" s="43"/>
      <c r="GQ108" s="43"/>
      <c r="GR108" s="43"/>
      <c r="GS108" s="43"/>
      <c r="GT108" s="43"/>
      <c r="GU108" s="43"/>
      <c r="GV108" s="43"/>
      <c r="GW108" s="43"/>
      <c r="GX108" s="43"/>
      <c r="GY108" s="43"/>
      <c r="GZ108" s="43"/>
      <c r="HA108" s="43"/>
      <c r="HB108" s="43"/>
      <c r="HC108" s="43"/>
      <c r="HD108" s="43"/>
      <c r="HE108" s="43"/>
      <c r="HF108" s="43"/>
      <c r="HG108" s="43"/>
      <c r="HH108" s="43"/>
      <c r="HI108" s="43"/>
      <c r="HJ108" s="43"/>
      <c r="HK108" s="43"/>
      <c r="HL108" s="43"/>
      <c r="HM108" s="43"/>
      <c r="HN108" s="43"/>
      <c r="HO108" s="43"/>
      <c r="HP108" s="43"/>
      <c r="HQ108" s="43"/>
      <c r="HR108" s="43"/>
      <c r="HS108" s="43"/>
      <c r="HT108" s="43"/>
      <c r="HU108" s="43"/>
      <c r="HV108" s="43"/>
      <c r="HW108" s="43"/>
      <c r="HX108" s="43"/>
      <c r="HY108" s="43"/>
      <c r="HZ108" s="43"/>
      <c r="IA108" s="43"/>
      <c r="IB108" s="43"/>
      <c r="IC108" s="43"/>
      <c r="ID108" s="43"/>
      <c r="IE108" s="43"/>
      <c r="IF108" s="43"/>
      <c r="IG108" s="43"/>
      <c r="IH108" s="43"/>
      <c r="II108" s="43"/>
      <c r="IJ108" s="43"/>
      <c r="IK108" s="43"/>
      <c r="IL108" s="43"/>
      <c r="IM108" s="43"/>
      <c r="IN108" s="43"/>
      <c r="IO108" s="43"/>
      <c r="IP108" s="43"/>
      <c r="IQ108" s="43"/>
      <c r="IR108" s="43"/>
      <c r="IS108" s="43"/>
      <c r="IT108" s="43"/>
    </row>
    <row r="109" spans="1:254" ht="16.5" customHeight="1" thickBot="1">
      <c r="A109" s="43"/>
      <c r="B109" s="47"/>
      <c r="C109" s="200"/>
      <c r="D109" s="200"/>
      <c r="E109" s="161"/>
      <c r="F109" s="189" t="s">
        <v>339</v>
      </c>
      <c r="G109" s="190">
        <f>D61-G106</f>
        <v>854721787.28000069</v>
      </c>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c r="IR109" s="43"/>
      <c r="IS109" s="43"/>
      <c r="IT109" s="43"/>
    </row>
    <row r="110" spans="1:254" ht="6.75" customHeight="1" thickBot="1">
      <c r="A110" s="43"/>
      <c r="B110" s="47"/>
      <c r="C110" s="200"/>
      <c r="D110" s="200"/>
      <c r="E110" s="161"/>
      <c r="F110" s="161"/>
      <c r="G110" s="161"/>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3"/>
      <c r="GS110" s="43"/>
      <c r="GT110" s="43"/>
      <c r="GU110" s="43"/>
      <c r="GV110" s="43"/>
      <c r="GW110" s="43"/>
      <c r="GX110" s="43"/>
      <c r="GY110" s="43"/>
      <c r="GZ110" s="43"/>
      <c r="HA110" s="43"/>
      <c r="HB110" s="43"/>
      <c r="HC110" s="43"/>
      <c r="HD110" s="43"/>
      <c r="HE110" s="43"/>
      <c r="HF110" s="43"/>
      <c r="HG110" s="43"/>
      <c r="HH110" s="43"/>
      <c r="HI110" s="43"/>
      <c r="HJ110" s="43"/>
      <c r="HK110" s="43"/>
      <c r="HL110" s="43"/>
      <c r="HM110" s="43"/>
      <c r="HN110" s="43"/>
      <c r="HO110" s="43"/>
      <c r="HP110" s="43"/>
      <c r="HQ110" s="43"/>
      <c r="HR110" s="43"/>
      <c r="HS110" s="43"/>
      <c r="HT110" s="43"/>
      <c r="HU110" s="43"/>
      <c r="HV110" s="43"/>
      <c r="HW110" s="43"/>
      <c r="HX110" s="43"/>
      <c r="HY110" s="43"/>
      <c r="HZ110" s="43"/>
      <c r="IA110" s="43"/>
      <c r="IB110" s="43"/>
      <c r="IC110" s="43"/>
      <c r="ID110" s="43"/>
      <c r="IE110" s="43"/>
      <c r="IF110" s="43"/>
      <c r="IG110" s="43"/>
      <c r="IH110" s="43"/>
      <c r="II110" s="43"/>
      <c r="IJ110" s="43"/>
      <c r="IK110" s="43"/>
      <c r="IL110" s="43"/>
      <c r="IM110" s="43"/>
      <c r="IN110" s="43"/>
      <c r="IO110" s="43"/>
      <c r="IP110" s="43"/>
      <c r="IQ110" s="43"/>
      <c r="IR110" s="43"/>
      <c r="IS110" s="43"/>
      <c r="IT110" s="43"/>
    </row>
    <row r="111" spans="1:254" ht="15" customHeight="1" thickBot="1">
      <c r="A111" s="43"/>
      <c r="B111" s="43"/>
      <c r="C111" s="189" t="s">
        <v>269</v>
      </c>
      <c r="D111" s="205">
        <f>+[10]E.S.P.!D6</f>
        <v>2021</v>
      </c>
      <c r="E111" s="195"/>
      <c r="F111" s="189" t="s">
        <v>340</v>
      </c>
      <c r="G111" s="205">
        <f>+[10]E.S.P.!D6</f>
        <v>2021</v>
      </c>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c r="FH111" s="43"/>
      <c r="FI111" s="43"/>
      <c r="FJ111" s="43"/>
      <c r="FK111" s="43"/>
      <c r="FL111" s="43"/>
      <c r="FM111" s="43"/>
      <c r="FN111" s="43"/>
      <c r="FO111" s="43"/>
      <c r="FP111" s="43"/>
      <c r="FQ111" s="43"/>
      <c r="FR111" s="43"/>
      <c r="FS111" s="43"/>
      <c r="FT111" s="43"/>
      <c r="FU111" s="43"/>
      <c r="FV111" s="43"/>
      <c r="FW111" s="43"/>
      <c r="FX111" s="43"/>
      <c r="FY111" s="43"/>
      <c r="FZ111" s="43"/>
      <c r="GA111" s="43"/>
      <c r="GB111" s="43"/>
      <c r="GC111" s="43"/>
      <c r="GD111" s="43"/>
      <c r="GE111" s="43"/>
      <c r="GF111" s="43"/>
      <c r="GG111" s="43"/>
      <c r="GH111" s="43"/>
      <c r="GI111" s="43"/>
      <c r="GJ111" s="43"/>
      <c r="GK111" s="43"/>
      <c r="GL111" s="43"/>
      <c r="GM111" s="43"/>
      <c r="GN111" s="43"/>
      <c r="GO111" s="43"/>
      <c r="GP111" s="43"/>
      <c r="GQ111" s="43"/>
      <c r="GR111" s="43"/>
      <c r="GS111" s="43"/>
      <c r="GT111" s="43"/>
      <c r="GU111" s="43"/>
      <c r="GV111" s="43"/>
      <c r="GW111" s="43"/>
      <c r="GX111" s="43"/>
      <c r="GY111" s="43"/>
      <c r="GZ111" s="43"/>
      <c r="HA111" s="43"/>
      <c r="HB111" s="43"/>
      <c r="HC111" s="43"/>
      <c r="HD111" s="43"/>
      <c r="HE111" s="43"/>
      <c r="HF111" s="43"/>
      <c r="HG111" s="43"/>
      <c r="HH111" s="43"/>
      <c r="HI111" s="43"/>
      <c r="HJ111" s="43"/>
      <c r="HK111" s="43"/>
      <c r="HL111" s="43"/>
      <c r="HM111" s="43"/>
      <c r="HN111" s="43"/>
      <c r="HO111" s="43"/>
      <c r="HP111" s="43"/>
      <c r="HQ111" s="43"/>
      <c r="HR111" s="43"/>
      <c r="HS111" s="43"/>
      <c r="HT111" s="43"/>
      <c r="HU111" s="43"/>
      <c r="HV111" s="43"/>
      <c r="HW111" s="43"/>
      <c r="HX111" s="43"/>
      <c r="HY111" s="43"/>
      <c r="HZ111" s="43"/>
      <c r="IA111" s="43"/>
      <c r="IB111" s="43"/>
      <c r="IC111" s="43"/>
      <c r="ID111" s="43"/>
      <c r="IE111" s="43"/>
      <c r="IF111" s="43"/>
      <c r="IG111" s="43"/>
      <c r="IH111" s="43"/>
      <c r="II111" s="43"/>
      <c r="IJ111" s="43"/>
      <c r="IK111" s="43"/>
      <c r="IL111" s="43"/>
      <c r="IM111" s="43"/>
      <c r="IN111" s="43"/>
      <c r="IO111" s="43"/>
      <c r="IP111" s="43"/>
      <c r="IQ111" s="43"/>
      <c r="IR111" s="43"/>
      <c r="IS111" s="43"/>
      <c r="IT111" s="43"/>
    </row>
    <row r="112" spans="1:254" ht="13.7" customHeight="1">
      <c r="A112" s="43"/>
      <c r="B112" s="47" t="s">
        <v>341</v>
      </c>
      <c r="C112" s="206" t="s">
        <v>342</v>
      </c>
      <c r="D112" s="207">
        <v>0</v>
      </c>
      <c r="E112" s="164" t="s">
        <v>343</v>
      </c>
      <c r="F112" s="206" t="s">
        <v>308</v>
      </c>
      <c r="G112" s="207">
        <v>0</v>
      </c>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c r="HG112" s="43"/>
      <c r="HH112" s="43"/>
      <c r="HI112" s="43"/>
      <c r="HJ112" s="43"/>
      <c r="HK112" s="43"/>
      <c r="HL112" s="43"/>
      <c r="HM112" s="43"/>
      <c r="HN112" s="43"/>
      <c r="HO112" s="43"/>
      <c r="HP112" s="43"/>
      <c r="HQ112" s="43"/>
      <c r="HR112" s="43"/>
      <c r="HS112" s="43"/>
      <c r="HT112" s="43"/>
      <c r="HU112" s="43"/>
      <c r="HV112" s="43"/>
      <c r="HW112" s="43"/>
      <c r="HX112" s="43"/>
      <c r="HY112" s="43"/>
      <c r="HZ112" s="43"/>
      <c r="IA112" s="43"/>
      <c r="IB112" s="43"/>
      <c r="IC112" s="43"/>
      <c r="ID112" s="43"/>
      <c r="IE112" s="43"/>
      <c r="IF112" s="43"/>
      <c r="IG112" s="43"/>
      <c r="IH112" s="43"/>
      <c r="II112" s="43"/>
      <c r="IJ112" s="43"/>
      <c r="IK112" s="43"/>
      <c r="IL112" s="43"/>
      <c r="IM112" s="43"/>
      <c r="IN112" s="43"/>
      <c r="IO112" s="43"/>
      <c r="IP112" s="43"/>
      <c r="IQ112" s="43"/>
      <c r="IR112" s="43"/>
      <c r="IS112" s="43"/>
      <c r="IT112" s="43"/>
    </row>
    <row r="113" spans="1:254" ht="13.7" customHeight="1">
      <c r="A113" s="43"/>
      <c r="B113" s="47" t="s">
        <v>344</v>
      </c>
      <c r="C113" s="208" t="s">
        <v>345</v>
      </c>
      <c r="D113" s="209">
        <v>404492070.27999997</v>
      </c>
      <c r="E113" s="164" t="s">
        <v>346</v>
      </c>
      <c r="F113" s="208" t="s">
        <v>347</v>
      </c>
      <c r="G113" s="209">
        <v>0</v>
      </c>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c r="FH113" s="43"/>
      <c r="FI113" s="43"/>
      <c r="FJ113" s="43"/>
      <c r="FK113" s="43"/>
      <c r="FL113" s="43"/>
      <c r="FM113" s="43"/>
      <c r="FN113" s="43"/>
      <c r="FO113" s="43"/>
      <c r="FP113" s="43"/>
      <c r="FQ113" s="43"/>
      <c r="FR113" s="43"/>
      <c r="FS113" s="43"/>
      <c r="FT113" s="43"/>
      <c r="FU113" s="43"/>
      <c r="FV113" s="43"/>
      <c r="FW113" s="43"/>
      <c r="FX113" s="43"/>
      <c r="FY113" s="43"/>
      <c r="FZ113" s="43"/>
      <c r="GA113" s="43"/>
      <c r="GB113" s="43"/>
      <c r="GC113" s="43"/>
      <c r="GD113" s="43"/>
      <c r="GE113" s="43"/>
      <c r="GF113" s="43"/>
      <c r="GG113" s="43"/>
      <c r="GH113" s="43"/>
      <c r="GI113" s="43"/>
      <c r="GJ113" s="43"/>
      <c r="GK113" s="43"/>
      <c r="GL113" s="43"/>
      <c r="GM113" s="43"/>
      <c r="GN113" s="43"/>
      <c r="GO113" s="43"/>
      <c r="GP113" s="43"/>
      <c r="GQ113" s="43"/>
      <c r="GR113" s="43"/>
      <c r="GS113" s="43"/>
      <c r="GT113" s="43"/>
      <c r="GU113" s="43"/>
      <c r="GV113" s="43"/>
      <c r="GW113" s="43"/>
      <c r="GX113" s="43"/>
      <c r="GY113" s="43"/>
      <c r="GZ113" s="43"/>
      <c r="HA113" s="43"/>
      <c r="HB113" s="43"/>
      <c r="HC113" s="43"/>
      <c r="HD113" s="43"/>
      <c r="HE113" s="43"/>
      <c r="HF113" s="43"/>
      <c r="HG113" s="43"/>
      <c r="HH113" s="43"/>
      <c r="HI113" s="43"/>
      <c r="HJ113" s="43"/>
      <c r="HK113" s="43"/>
      <c r="HL113" s="43"/>
      <c r="HM113" s="43"/>
      <c r="HN113" s="43"/>
      <c r="HO113" s="43"/>
      <c r="HP113" s="43"/>
      <c r="HQ113" s="43"/>
      <c r="HR113" s="43"/>
      <c r="HS113" s="43"/>
      <c r="HT113" s="43"/>
      <c r="HU113" s="43"/>
      <c r="HV113" s="43"/>
      <c r="HW113" s="43"/>
      <c r="HX113" s="43"/>
      <c r="HY113" s="43"/>
      <c r="HZ113" s="43"/>
      <c r="IA113" s="43"/>
      <c r="IB113" s="43"/>
      <c r="IC113" s="43"/>
      <c r="ID113" s="43"/>
      <c r="IE113" s="43"/>
      <c r="IF113" s="43"/>
      <c r="IG113" s="43"/>
      <c r="IH113" s="43"/>
      <c r="II113" s="43"/>
      <c r="IJ113" s="43"/>
      <c r="IK113" s="43"/>
      <c r="IL113" s="43"/>
      <c r="IM113" s="43"/>
      <c r="IN113" s="43"/>
      <c r="IO113" s="43"/>
      <c r="IP113" s="43"/>
      <c r="IQ113" s="43"/>
      <c r="IR113" s="43"/>
      <c r="IS113" s="43"/>
      <c r="IT113" s="43"/>
    </row>
    <row r="114" spans="1:254" ht="13.7" customHeight="1">
      <c r="A114" s="43"/>
      <c r="B114" s="47" t="s">
        <v>348</v>
      </c>
      <c r="C114" s="208" t="s">
        <v>48</v>
      </c>
      <c r="D114" s="209">
        <v>0</v>
      </c>
      <c r="E114" s="164" t="s">
        <v>349</v>
      </c>
      <c r="F114" s="208" t="s">
        <v>350</v>
      </c>
      <c r="G114" s="209">
        <v>12166773.039999999</v>
      </c>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c r="IR114" s="43"/>
      <c r="IS114" s="43"/>
      <c r="IT114" s="43"/>
    </row>
    <row r="115" spans="1:254" ht="13.7" customHeight="1">
      <c r="A115" s="43"/>
      <c r="B115" s="47" t="s">
        <v>351</v>
      </c>
      <c r="C115" s="208" t="s">
        <v>352</v>
      </c>
      <c r="D115" s="209">
        <v>0</v>
      </c>
      <c r="E115" s="164" t="s">
        <v>353</v>
      </c>
      <c r="F115" s="208" t="s">
        <v>354</v>
      </c>
      <c r="G115" s="209">
        <v>0</v>
      </c>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c r="GQ115" s="43"/>
      <c r="GR115" s="43"/>
      <c r="GS115" s="43"/>
      <c r="GT115" s="43"/>
      <c r="GU115" s="43"/>
      <c r="GV115" s="43"/>
      <c r="GW115" s="43"/>
      <c r="GX115" s="43"/>
      <c r="GY115" s="43"/>
      <c r="GZ115" s="43"/>
      <c r="HA115" s="43"/>
      <c r="HB115" s="43"/>
      <c r="HC115" s="43"/>
      <c r="HD115" s="43"/>
      <c r="HE115" s="43"/>
      <c r="HF115" s="43"/>
      <c r="HG115" s="43"/>
      <c r="HH115" s="43"/>
      <c r="HI115" s="43"/>
      <c r="HJ115" s="43"/>
      <c r="HK115" s="43"/>
      <c r="HL115" s="43"/>
      <c r="HM115" s="43"/>
      <c r="HN115" s="43"/>
      <c r="HO115" s="43"/>
      <c r="HP115" s="43"/>
      <c r="HQ115" s="43"/>
      <c r="HR115" s="43"/>
      <c r="HS115" s="43"/>
      <c r="HT115" s="43"/>
      <c r="HU115" s="43"/>
      <c r="HV115" s="43"/>
      <c r="HW115" s="43"/>
      <c r="HX115" s="43"/>
      <c r="HY115" s="43"/>
      <c r="HZ115" s="43"/>
      <c r="IA115" s="43"/>
      <c r="IB115" s="43"/>
      <c r="IC115" s="43"/>
      <c r="ID115" s="43"/>
      <c r="IE115" s="43"/>
      <c r="IF115" s="43"/>
      <c r="IG115" s="43"/>
      <c r="IH115" s="43"/>
      <c r="II115" s="43"/>
      <c r="IJ115" s="43"/>
      <c r="IK115" s="43"/>
      <c r="IL115" s="43"/>
      <c r="IM115" s="43"/>
      <c r="IN115" s="43"/>
      <c r="IO115" s="43"/>
      <c r="IP115" s="43"/>
      <c r="IQ115" s="43"/>
      <c r="IR115" s="43"/>
      <c r="IS115" s="43"/>
      <c r="IT115" s="43"/>
    </row>
    <row r="116" spans="1:254" ht="13.7" customHeight="1">
      <c r="A116" s="43"/>
      <c r="B116" s="47" t="s">
        <v>355</v>
      </c>
      <c r="C116" s="208" t="s">
        <v>356</v>
      </c>
      <c r="D116" s="209">
        <f>2700840.92+17249281.08+3342070.72</f>
        <v>23292192.719999999</v>
      </c>
      <c r="E116" s="164" t="s">
        <v>357</v>
      </c>
      <c r="F116" s="208" t="s">
        <v>358</v>
      </c>
      <c r="G116" s="209">
        <v>3518800</v>
      </c>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c r="IR116" s="43"/>
      <c r="IS116" s="43"/>
      <c r="IT116" s="43"/>
    </row>
    <row r="117" spans="1:254" ht="13.7" customHeight="1">
      <c r="A117" s="43"/>
      <c r="B117" s="47" t="s">
        <v>359</v>
      </c>
      <c r="C117" s="208" t="s">
        <v>360</v>
      </c>
      <c r="D117" s="209">
        <v>0</v>
      </c>
      <c r="E117" s="164" t="s">
        <v>361</v>
      </c>
      <c r="F117" s="208" t="s">
        <v>362</v>
      </c>
      <c r="G117" s="209">
        <v>0</v>
      </c>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c r="FH117" s="43"/>
      <c r="FI117" s="43"/>
      <c r="FJ117" s="43"/>
      <c r="FK117" s="43"/>
      <c r="FL117" s="43"/>
      <c r="FM117" s="43"/>
      <c r="FN117" s="43"/>
      <c r="FO117" s="43"/>
      <c r="FP117" s="43"/>
      <c r="FQ117" s="43"/>
      <c r="FR117" s="43"/>
      <c r="FS117" s="43"/>
      <c r="FT117" s="43"/>
      <c r="FU117" s="43"/>
      <c r="FV117" s="43"/>
      <c r="FW117" s="43"/>
      <c r="FX117" s="43"/>
      <c r="FY117" s="43"/>
      <c r="FZ117" s="43"/>
      <c r="GA117" s="43"/>
      <c r="GB117" s="43"/>
      <c r="GC117" s="43"/>
      <c r="GD117" s="43"/>
      <c r="GE117" s="43"/>
      <c r="GF117" s="43"/>
      <c r="GG117" s="43"/>
      <c r="GH117" s="43"/>
      <c r="GI117" s="43"/>
      <c r="GJ117" s="43"/>
      <c r="GK117" s="43"/>
      <c r="GL117" s="43"/>
      <c r="GM117" s="43"/>
      <c r="GN117" s="43"/>
      <c r="GO117" s="43"/>
      <c r="GP117" s="43"/>
      <c r="GQ117" s="43"/>
      <c r="GR117" s="43"/>
      <c r="GS117" s="43"/>
      <c r="GT117" s="43"/>
      <c r="GU117" s="43"/>
      <c r="GV117" s="43"/>
      <c r="GW117" s="43"/>
      <c r="GX117" s="43"/>
      <c r="GY117" s="43"/>
      <c r="GZ117" s="43"/>
      <c r="HA117" s="43"/>
      <c r="HB117" s="43"/>
      <c r="HC117" s="43"/>
      <c r="HD117" s="43"/>
      <c r="HE117" s="43"/>
      <c r="HF117" s="43"/>
      <c r="HG117" s="43"/>
      <c r="HH117" s="43"/>
      <c r="HI117" s="43"/>
      <c r="HJ117" s="43"/>
      <c r="HK117" s="43"/>
      <c r="HL117" s="43"/>
      <c r="HM117" s="43"/>
      <c r="HN117" s="43"/>
      <c r="HO117" s="43"/>
      <c r="HP117" s="43"/>
      <c r="HQ117" s="43"/>
      <c r="HR117" s="43"/>
      <c r="HS117" s="43"/>
      <c r="HT117" s="43"/>
      <c r="HU117" s="43"/>
      <c r="HV117" s="43"/>
      <c r="HW117" s="43"/>
      <c r="HX117" s="43"/>
      <c r="HY117" s="43"/>
      <c r="HZ117" s="43"/>
      <c r="IA117" s="43"/>
      <c r="IB117" s="43"/>
      <c r="IC117" s="43"/>
      <c r="ID117" s="43"/>
      <c r="IE117" s="43"/>
      <c r="IF117" s="43"/>
      <c r="IG117" s="43"/>
      <c r="IH117" s="43"/>
      <c r="II117" s="43"/>
      <c r="IJ117" s="43"/>
      <c r="IK117" s="43"/>
      <c r="IL117" s="43"/>
      <c r="IM117" s="43"/>
      <c r="IN117" s="43"/>
      <c r="IO117" s="43"/>
      <c r="IP117" s="43"/>
      <c r="IQ117" s="43"/>
      <c r="IR117" s="43"/>
      <c r="IS117" s="43"/>
      <c r="IT117" s="43"/>
    </row>
    <row r="118" spans="1:254" ht="13.7" customHeight="1">
      <c r="A118" s="43"/>
      <c r="B118" s="47" t="s">
        <v>363</v>
      </c>
      <c r="C118" s="208" t="s">
        <v>364</v>
      </c>
      <c r="D118" s="209">
        <v>0</v>
      </c>
      <c r="E118" s="164" t="s">
        <v>365</v>
      </c>
      <c r="F118" s="208" t="s">
        <v>366</v>
      </c>
      <c r="G118" s="209">
        <v>0</v>
      </c>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c r="FX118" s="43"/>
      <c r="FY118" s="43"/>
      <c r="FZ118" s="43"/>
      <c r="GA118" s="43"/>
      <c r="GB118" s="43"/>
      <c r="GC118" s="43"/>
      <c r="GD118" s="43"/>
      <c r="GE118" s="43"/>
      <c r="GF118" s="43"/>
      <c r="GG118" s="43"/>
      <c r="GH118" s="43"/>
      <c r="GI118" s="43"/>
      <c r="GJ118" s="43"/>
      <c r="GK118" s="43"/>
      <c r="GL118" s="43"/>
      <c r="GM118" s="43"/>
      <c r="GN118" s="43"/>
      <c r="GO118" s="43"/>
      <c r="GP118" s="43"/>
      <c r="GQ118" s="43"/>
      <c r="GR118" s="43"/>
      <c r="GS118" s="43"/>
      <c r="GT118" s="43"/>
      <c r="GU118" s="43"/>
      <c r="GV118" s="43"/>
      <c r="GW118" s="43"/>
      <c r="GX118" s="43"/>
      <c r="GY118" s="43"/>
      <c r="GZ118" s="43"/>
      <c r="HA118" s="43"/>
      <c r="HB118" s="43"/>
      <c r="HC118" s="43"/>
      <c r="HD118" s="43"/>
      <c r="HE118" s="43"/>
      <c r="HF118" s="43"/>
      <c r="HG118" s="43"/>
      <c r="HH118" s="43"/>
      <c r="HI118" s="43"/>
      <c r="HJ118" s="43"/>
      <c r="HK118" s="43"/>
      <c r="HL118" s="43"/>
      <c r="HM118" s="43"/>
      <c r="HN118" s="43"/>
      <c r="HO118" s="43"/>
      <c r="HP118" s="43"/>
      <c r="HQ118" s="43"/>
      <c r="HR118" s="43"/>
      <c r="HS118" s="43"/>
      <c r="HT118" s="43"/>
      <c r="HU118" s="43"/>
      <c r="HV118" s="43"/>
      <c r="HW118" s="43"/>
      <c r="HX118" s="43"/>
      <c r="HY118" s="43"/>
      <c r="HZ118" s="43"/>
      <c r="IA118" s="43"/>
      <c r="IB118" s="43"/>
      <c r="IC118" s="43"/>
      <c r="ID118" s="43"/>
      <c r="IE118" s="43"/>
      <c r="IF118" s="43"/>
      <c r="IG118" s="43"/>
      <c r="IH118" s="43"/>
      <c r="II118" s="43"/>
      <c r="IJ118" s="43"/>
      <c r="IK118" s="43"/>
      <c r="IL118" s="43"/>
      <c r="IM118" s="43"/>
      <c r="IN118" s="43"/>
      <c r="IO118" s="43"/>
      <c r="IP118" s="43"/>
      <c r="IQ118" s="43"/>
      <c r="IR118" s="43"/>
      <c r="IS118" s="43"/>
      <c r="IT118" s="43"/>
    </row>
    <row r="119" spans="1:254" ht="13.7" customHeight="1">
      <c r="A119" s="43"/>
      <c r="B119" s="47" t="s">
        <v>367</v>
      </c>
      <c r="C119" s="208" t="s">
        <v>368</v>
      </c>
      <c r="D119" s="209"/>
      <c r="E119" s="164" t="s">
        <v>369</v>
      </c>
      <c r="F119" s="208" t="s">
        <v>370</v>
      </c>
      <c r="G119" s="209">
        <v>0</v>
      </c>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c r="FF119" s="43"/>
      <c r="FG119" s="43"/>
      <c r="FH119" s="43"/>
      <c r="FI119" s="43"/>
      <c r="FJ119" s="43"/>
      <c r="FK119" s="43"/>
      <c r="FL119" s="43"/>
      <c r="FM119" s="43"/>
      <c r="FN119" s="43"/>
      <c r="FO119" s="43"/>
      <c r="FP119" s="43"/>
      <c r="FQ119" s="43"/>
      <c r="FR119" s="43"/>
      <c r="FS119" s="43"/>
      <c r="FT119" s="43"/>
      <c r="FU119" s="43"/>
      <c r="FV119" s="43"/>
      <c r="FW119" s="43"/>
      <c r="FX119" s="43"/>
      <c r="FY119" s="43"/>
      <c r="FZ119" s="43"/>
      <c r="GA119" s="43"/>
      <c r="GB119" s="43"/>
      <c r="GC119" s="43"/>
      <c r="GD119" s="43"/>
      <c r="GE119" s="43"/>
      <c r="GF119" s="43"/>
      <c r="GG119" s="43"/>
      <c r="GH119" s="43"/>
      <c r="GI119" s="43"/>
      <c r="GJ119" s="43"/>
      <c r="GK119" s="43"/>
      <c r="GL119" s="43"/>
      <c r="GM119" s="43"/>
      <c r="GN119" s="43"/>
      <c r="GO119" s="43"/>
      <c r="GP119" s="43"/>
      <c r="GQ119" s="43"/>
      <c r="GR119" s="43"/>
      <c r="GS119" s="43"/>
      <c r="GT119" s="43"/>
      <c r="GU119" s="43"/>
      <c r="GV119" s="43"/>
      <c r="GW119" s="43"/>
      <c r="GX119" s="43"/>
      <c r="GY119" s="43"/>
      <c r="GZ119" s="43"/>
      <c r="HA119" s="43"/>
      <c r="HB119" s="43"/>
      <c r="HC119" s="43"/>
      <c r="HD119" s="43"/>
      <c r="HE119" s="43"/>
      <c r="HF119" s="43"/>
      <c r="HG119" s="43"/>
      <c r="HH119" s="43"/>
      <c r="HI119" s="43"/>
      <c r="HJ119" s="43"/>
      <c r="HK119" s="43"/>
      <c r="HL119" s="43"/>
      <c r="HM119" s="43"/>
      <c r="HN119" s="43"/>
      <c r="HO119" s="43"/>
      <c r="HP119" s="43"/>
      <c r="HQ119" s="43"/>
      <c r="HR119" s="43"/>
      <c r="HS119" s="43"/>
      <c r="HT119" s="43"/>
      <c r="HU119" s="43"/>
      <c r="HV119" s="43"/>
      <c r="HW119" s="43"/>
      <c r="HX119" s="43"/>
      <c r="HY119" s="43"/>
      <c r="HZ119" s="43"/>
      <c r="IA119" s="43"/>
      <c r="IB119" s="43"/>
      <c r="IC119" s="43"/>
      <c r="ID119" s="43"/>
      <c r="IE119" s="43"/>
      <c r="IF119" s="43"/>
      <c r="IG119" s="43"/>
      <c r="IH119" s="43"/>
      <c r="II119" s="43"/>
      <c r="IJ119" s="43"/>
      <c r="IK119" s="43"/>
      <c r="IL119" s="43"/>
      <c r="IM119" s="43"/>
      <c r="IN119" s="43"/>
      <c r="IO119" s="43"/>
      <c r="IP119" s="43"/>
      <c r="IQ119" s="43"/>
      <c r="IR119" s="43"/>
      <c r="IS119" s="43"/>
      <c r="IT119" s="43"/>
    </row>
    <row r="120" spans="1:254" ht="13.7" customHeight="1">
      <c r="A120" s="43"/>
      <c r="B120" s="47" t="s">
        <v>371</v>
      </c>
      <c r="C120" s="208" t="s">
        <v>372</v>
      </c>
      <c r="D120" s="209">
        <v>0</v>
      </c>
      <c r="E120" s="164" t="s">
        <v>373</v>
      </c>
      <c r="F120" s="208" t="s">
        <v>374</v>
      </c>
      <c r="G120" s="209">
        <v>0</v>
      </c>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c r="IR120" s="43"/>
      <c r="IS120" s="43"/>
      <c r="IT120" s="43"/>
    </row>
    <row r="121" spans="1:254" ht="13.7" customHeight="1">
      <c r="A121" s="43"/>
      <c r="B121" s="47" t="s">
        <v>375</v>
      </c>
      <c r="C121" s="162" t="s">
        <v>376</v>
      </c>
      <c r="D121" s="209">
        <v>15187072</v>
      </c>
      <c r="E121" s="164" t="s">
        <v>377</v>
      </c>
      <c r="F121" s="208" t="s">
        <v>378</v>
      </c>
      <c r="G121" s="209">
        <v>11636456.17</v>
      </c>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43"/>
      <c r="GT121" s="43"/>
      <c r="GU121" s="43"/>
      <c r="GV121" s="43"/>
      <c r="GW121" s="43"/>
      <c r="GX121" s="43"/>
      <c r="GY121" s="43"/>
      <c r="GZ121" s="43"/>
      <c r="HA121" s="43"/>
      <c r="HB121" s="43"/>
      <c r="HC121" s="43"/>
      <c r="HD121" s="43"/>
      <c r="HE121" s="43"/>
      <c r="HF121" s="43"/>
      <c r="HG121" s="43"/>
      <c r="HH121" s="43"/>
      <c r="HI121" s="43"/>
      <c r="HJ121" s="43"/>
      <c r="HK121" s="43"/>
      <c r="HL121" s="43"/>
      <c r="HM121" s="43"/>
      <c r="HN121" s="43"/>
      <c r="HO121" s="43"/>
      <c r="HP121" s="43"/>
      <c r="HQ121" s="43"/>
      <c r="HR121" s="43"/>
      <c r="HS121" s="43"/>
      <c r="HT121" s="43"/>
      <c r="HU121" s="43"/>
      <c r="HV121" s="43"/>
      <c r="HW121" s="43"/>
      <c r="HX121" s="43"/>
      <c r="HY121" s="43"/>
      <c r="HZ121" s="43"/>
      <c r="IA121" s="43"/>
      <c r="IB121" s="43"/>
      <c r="IC121" s="43"/>
      <c r="ID121" s="43"/>
      <c r="IE121" s="43"/>
      <c r="IF121" s="43"/>
      <c r="IG121" s="43"/>
      <c r="IH121" s="43"/>
      <c r="II121" s="43"/>
      <c r="IJ121" s="43"/>
      <c r="IK121" s="43"/>
      <c r="IL121" s="43"/>
      <c r="IM121" s="43"/>
      <c r="IN121" s="43"/>
      <c r="IO121" s="43"/>
      <c r="IP121" s="43"/>
      <c r="IQ121" s="43"/>
      <c r="IR121" s="43"/>
      <c r="IS121" s="43"/>
      <c r="IT121" s="43"/>
    </row>
    <row r="122" spans="1:254" ht="13.7" customHeight="1" thickBot="1">
      <c r="A122" s="43"/>
      <c r="B122" s="47"/>
      <c r="C122" s="171" t="s">
        <v>379</v>
      </c>
      <c r="D122" s="180">
        <f>SUM(D112:D121)</f>
        <v>442971335</v>
      </c>
      <c r="E122" s="164" t="s">
        <v>380</v>
      </c>
      <c r="F122" s="162" t="s">
        <v>381</v>
      </c>
      <c r="G122" s="168">
        <v>756709</v>
      </c>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c r="FF122" s="43"/>
      <c r="FG122" s="43"/>
      <c r="FH122" s="43"/>
      <c r="FI122" s="43"/>
      <c r="FJ122" s="43"/>
      <c r="FK122" s="43"/>
      <c r="FL122" s="43"/>
      <c r="FM122" s="43"/>
      <c r="FN122" s="43"/>
      <c r="FO122" s="43"/>
      <c r="FP122" s="43"/>
      <c r="FQ122" s="43"/>
      <c r="FR122" s="43"/>
      <c r="FS122" s="43"/>
      <c r="FT122" s="43"/>
      <c r="FU122" s="43"/>
      <c r="FV122" s="43"/>
      <c r="FW122" s="43"/>
      <c r="FX122" s="43"/>
      <c r="FY122" s="43"/>
      <c r="FZ122" s="43"/>
      <c r="GA122" s="43"/>
      <c r="GB122" s="43"/>
      <c r="GC122" s="43"/>
      <c r="GD122" s="43"/>
      <c r="GE122" s="43"/>
      <c r="GF122" s="43"/>
      <c r="GG122" s="43"/>
      <c r="GH122" s="43"/>
      <c r="GI122" s="43"/>
      <c r="GJ122" s="43"/>
      <c r="GK122" s="43"/>
      <c r="GL122" s="43"/>
      <c r="GM122" s="43"/>
      <c r="GN122" s="43"/>
      <c r="GO122" s="43"/>
      <c r="GP122" s="43"/>
      <c r="GQ122" s="43"/>
      <c r="GR122" s="43"/>
      <c r="GS122" s="43"/>
      <c r="GT122" s="43"/>
      <c r="GU122" s="43"/>
      <c r="GV122" s="43"/>
      <c r="GW122" s="43"/>
      <c r="GX122" s="43"/>
      <c r="GY122" s="43"/>
      <c r="GZ122" s="43"/>
      <c r="HA122" s="43"/>
      <c r="HB122" s="43"/>
      <c r="HC122" s="43"/>
      <c r="HD122" s="43"/>
      <c r="HE122" s="43"/>
      <c r="HF122" s="43"/>
      <c r="HG122" s="43"/>
      <c r="HH122" s="43"/>
      <c r="HI122" s="43"/>
      <c r="HJ122" s="43"/>
      <c r="HK122" s="43"/>
      <c r="HL122" s="43"/>
      <c r="HM122" s="43"/>
      <c r="HN122" s="43"/>
      <c r="HO122" s="43"/>
      <c r="HP122" s="43"/>
      <c r="HQ122" s="43"/>
      <c r="HR122" s="43"/>
      <c r="HS122" s="43"/>
      <c r="HT122" s="43"/>
      <c r="HU122" s="43"/>
      <c r="HV122" s="43"/>
      <c r="HW122" s="43"/>
      <c r="HX122" s="43"/>
      <c r="HY122" s="43"/>
      <c r="HZ122" s="43"/>
      <c r="IA122" s="43"/>
      <c r="IB122" s="43"/>
      <c r="IC122" s="43"/>
      <c r="ID122" s="43"/>
      <c r="IE122" s="43"/>
      <c r="IF122" s="43"/>
      <c r="IG122" s="43"/>
      <c r="IH122" s="43"/>
      <c r="II122" s="43"/>
      <c r="IJ122" s="43"/>
      <c r="IK122" s="43"/>
      <c r="IL122" s="43"/>
      <c r="IM122" s="43"/>
      <c r="IN122" s="43"/>
      <c r="IO122" s="43"/>
      <c r="IP122" s="43"/>
      <c r="IQ122" s="43"/>
      <c r="IR122" s="43"/>
      <c r="IS122" s="43"/>
      <c r="IT122" s="43"/>
    </row>
    <row r="123" spans="1:254" ht="13.7" customHeight="1" thickBot="1">
      <c r="A123" s="43"/>
      <c r="B123" s="47" t="s">
        <v>382</v>
      </c>
      <c r="C123" s="210" t="s">
        <v>308</v>
      </c>
      <c r="D123" s="207"/>
      <c r="E123" s="195"/>
      <c r="F123" s="171" t="s">
        <v>383</v>
      </c>
      <c r="G123" s="180">
        <f>SUM(G112:G122)</f>
        <v>28078738.210000001</v>
      </c>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c r="IR123" s="43"/>
      <c r="IS123" s="43"/>
      <c r="IT123" s="43"/>
    </row>
    <row r="124" spans="1:254" ht="13.7" customHeight="1">
      <c r="A124" s="43"/>
      <c r="B124" s="47" t="s">
        <v>384</v>
      </c>
      <c r="C124" s="208" t="s">
        <v>312</v>
      </c>
      <c r="D124" s="209">
        <v>21584</v>
      </c>
      <c r="E124" s="164" t="s">
        <v>385</v>
      </c>
      <c r="F124" s="208" t="s">
        <v>386</v>
      </c>
      <c r="G124" s="209">
        <v>0</v>
      </c>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3"/>
      <c r="GS124" s="43"/>
      <c r="GT124" s="43"/>
      <c r="GU124" s="43"/>
      <c r="GV124" s="43"/>
      <c r="GW124" s="43"/>
      <c r="GX124" s="43"/>
      <c r="GY124" s="43"/>
      <c r="GZ124" s="43"/>
      <c r="HA124" s="43"/>
      <c r="HB124" s="43"/>
      <c r="HC124" s="43"/>
      <c r="HD124" s="43"/>
      <c r="HE124" s="43"/>
      <c r="HF124" s="43"/>
      <c r="HG124" s="43"/>
      <c r="HH124" s="43"/>
      <c r="HI124" s="43"/>
      <c r="HJ124" s="43"/>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43"/>
      <c r="II124" s="43"/>
      <c r="IJ124" s="43"/>
      <c r="IK124" s="43"/>
      <c r="IL124" s="43"/>
      <c r="IM124" s="43"/>
      <c r="IN124" s="43"/>
      <c r="IO124" s="43"/>
      <c r="IP124" s="43"/>
      <c r="IQ124" s="43"/>
      <c r="IR124" s="43"/>
      <c r="IS124" s="43"/>
      <c r="IT124" s="43"/>
    </row>
    <row r="125" spans="1:254" ht="13.7" customHeight="1">
      <c r="A125" s="43"/>
      <c r="B125" s="47" t="s">
        <v>387</v>
      </c>
      <c r="C125" s="162" t="s">
        <v>388</v>
      </c>
      <c r="D125" s="209">
        <v>2019</v>
      </c>
      <c r="E125" s="164" t="s">
        <v>389</v>
      </c>
      <c r="F125" s="208" t="s">
        <v>390</v>
      </c>
      <c r="G125" s="209">
        <v>292338.09999999998</v>
      </c>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3"/>
      <c r="HF125" s="43"/>
      <c r="HG125" s="43"/>
      <c r="HH125" s="43"/>
      <c r="HI125" s="43"/>
      <c r="HJ125" s="43"/>
      <c r="HK125" s="43"/>
      <c r="HL125" s="43"/>
      <c r="HM125" s="43"/>
      <c r="HN125" s="43"/>
      <c r="HO125" s="43"/>
      <c r="HP125" s="43"/>
      <c r="HQ125" s="43"/>
      <c r="HR125" s="43"/>
      <c r="HS125" s="43"/>
      <c r="HT125" s="43"/>
      <c r="HU125" s="43"/>
      <c r="HV125" s="43"/>
      <c r="HW125" s="43"/>
      <c r="HX125" s="43"/>
      <c r="HY125" s="43"/>
      <c r="HZ125" s="43"/>
      <c r="IA125" s="43"/>
      <c r="IB125" s="43"/>
      <c r="IC125" s="43"/>
      <c r="ID125" s="43"/>
      <c r="IE125" s="43"/>
      <c r="IF125" s="43"/>
      <c r="IG125" s="43"/>
      <c r="IH125" s="43"/>
      <c r="II125" s="43"/>
      <c r="IJ125" s="43"/>
      <c r="IK125" s="43"/>
      <c r="IL125" s="43"/>
      <c r="IM125" s="43"/>
      <c r="IN125" s="43"/>
      <c r="IO125" s="43"/>
      <c r="IP125" s="43"/>
      <c r="IQ125" s="43"/>
      <c r="IR125" s="43"/>
      <c r="IS125" s="43"/>
      <c r="IT125" s="43"/>
    </row>
    <row r="126" spans="1:254" ht="13.7" customHeight="1" thickBot="1">
      <c r="A126" s="43"/>
      <c r="B126" s="47"/>
      <c r="C126" s="171" t="s">
        <v>391</v>
      </c>
      <c r="D126" s="180">
        <f>SUM(D123:D125)</f>
        <v>23603</v>
      </c>
      <c r="E126" s="164" t="s">
        <v>392</v>
      </c>
      <c r="F126" s="208" t="s">
        <v>393</v>
      </c>
      <c r="G126" s="209">
        <v>6513921.2800000003</v>
      </c>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c r="IK126" s="43"/>
      <c r="IL126" s="43"/>
      <c r="IM126" s="43"/>
      <c r="IN126" s="43"/>
      <c r="IO126" s="43"/>
      <c r="IP126" s="43"/>
      <c r="IQ126" s="43"/>
      <c r="IR126" s="43"/>
      <c r="IS126" s="43"/>
      <c r="IT126" s="43"/>
    </row>
    <row r="127" spans="1:254" ht="13.7" customHeight="1">
      <c r="A127" s="43"/>
      <c r="B127" s="47" t="s">
        <v>394</v>
      </c>
      <c r="C127" s="206" t="s">
        <v>273</v>
      </c>
      <c r="D127" s="207">
        <v>29706537</v>
      </c>
      <c r="E127" s="164" t="s">
        <v>395</v>
      </c>
      <c r="F127" s="208" t="s">
        <v>396</v>
      </c>
      <c r="G127" s="209">
        <v>0</v>
      </c>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3"/>
      <c r="GS127" s="43"/>
      <c r="GT127" s="43"/>
      <c r="GU127" s="43"/>
      <c r="GV127" s="43"/>
      <c r="GW127" s="43"/>
      <c r="GX127" s="43"/>
      <c r="GY127" s="43"/>
      <c r="GZ127" s="43"/>
      <c r="HA127" s="43"/>
      <c r="HB127" s="43"/>
      <c r="HC127" s="43"/>
      <c r="HD127" s="43"/>
      <c r="HE127" s="43"/>
      <c r="HF127" s="43"/>
      <c r="HG127" s="43"/>
      <c r="HH127" s="43"/>
      <c r="HI127" s="43"/>
      <c r="HJ127" s="43"/>
      <c r="HK127" s="43"/>
      <c r="HL127" s="43"/>
      <c r="HM127" s="43"/>
      <c r="HN127" s="43"/>
      <c r="HO127" s="43"/>
      <c r="HP127" s="43"/>
      <c r="HQ127" s="43"/>
      <c r="HR127" s="43"/>
      <c r="HS127" s="43"/>
      <c r="HT127" s="43"/>
      <c r="HU127" s="43"/>
      <c r="HV127" s="43"/>
      <c r="HW127" s="43"/>
      <c r="HX127" s="43"/>
      <c r="HY127" s="43"/>
      <c r="HZ127" s="43"/>
      <c r="IA127" s="43"/>
      <c r="IB127" s="43"/>
      <c r="IC127" s="43"/>
      <c r="ID127" s="43"/>
      <c r="IE127" s="43"/>
      <c r="IF127" s="43"/>
      <c r="IG127" s="43"/>
      <c r="IH127" s="43"/>
      <c r="II127" s="43"/>
      <c r="IJ127" s="43"/>
      <c r="IK127" s="43"/>
      <c r="IL127" s="43"/>
      <c r="IM127" s="43"/>
      <c r="IN127" s="43"/>
      <c r="IO127" s="43"/>
      <c r="IP127" s="43"/>
      <c r="IQ127" s="43"/>
      <c r="IR127" s="43"/>
      <c r="IS127" s="43"/>
      <c r="IT127" s="43"/>
    </row>
    <row r="128" spans="1:254" ht="13.7" customHeight="1">
      <c r="A128" s="43"/>
      <c r="B128" s="47" t="s">
        <v>397</v>
      </c>
      <c r="C128" s="208" t="s">
        <v>398</v>
      </c>
      <c r="D128" s="209">
        <v>14045413</v>
      </c>
      <c r="E128" s="164" t="s">
        <v>399</v>
      </c>
      <c r="F128" s="208" t="s">
        <v>400</v>
      </c>
      <c r="G128" s="209">
        <v>0</v>
      </c>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43"/>
      <c r="II128" s="43"/>
      <c r="IJ128" s="43"/>
      <c r="IK128" s="43"/>
      <c r="IL128" s="43"/>
      <c r="IM128" s="43"/>
      <c r="IN128" s="43"/>
      <c r="IO128" s="43"/>
      <c r="IP128" s="43"/>
      <c r="IQ128" s="43"/>
      <c r="IR128" s="43"/>
      <c r="IS128" s="43"/>
      <c r="IT128" s="43"/>
    </row>
    <row r="129" spans="1:254" ht="13.7" customHeight="1">
      <c r="A129" s="43"/>
      <c r="B129" s="47" t="s">
        <v>401</v>
      </c>
      <c r="C129" s="208" t="s">
        <v>276</v>
      </c>
      <c r="D129" s="209">
        <v>0</v>
      </c>
      <c r="E129" s="164" t="s">
        <v>402</v>
      </c>
      <c r="F129" s="208" t="s">
        <v>403</v>
      </c>
      <c r="G129" s="209">
        <v>12447185.060000001</v>
      </c>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3"/>
      <c r="GS129" s="43"/>
      <c r="GT129" s="43"/>
      <c r="GU129" s="43"/>
      <c r="GV129" s="43"/>
      <c r="GW129" s="43"/>
      <c r="GX129" s="43"/>
      <c r="GY129" s="43"/>
      <c r="GZ129" s="43"/>
      <c r="HA129" s="43"/>
      <c r="HB129" s="43"/>
      <c r="HC129" s="43"/>
      <c r="HD129" s="43"/>
      <c r="HE129" s="43"/>
      <c r="HF129" s="43"/>
      <c r="HG129" s="43"/>
      <c r="HH129" s="43"/>
      <c r="HI129" s="43"/>
      <c r="HJ129" s="43"/>
      <c r="HK129" s="43"/>
      <c r="HL129" s="43"/>
      <c r="HM129" s="43"/>
      <c r="HN129" s="43"/>
      <c r="HO129" s="43"/>
      <c r="HP129" s="43"/>
      <c r="HQ129" s="43"/>
      <c r="HR129" s="43"/>
      <c r="HS129" s="43"/>
      <c r="HT129" s="43"/>
      <c r="HU129" s="43"/>
      <c r="HV129" s="43"/>
      <c r="HW129" s="43"/>
      <c r="HX129" s="43"/>
      <c r="HY129" s="43"/>
      <c r="HZ129" s="43"/>
      <c r="IA129" s="43"/>
      <c r="IB129" s="43"/>
      <c r="IC129" s="43"/>
      <c r="ID129" s="43"/>
      <c r="IE129" s="43"/>
      <c r="IF129" s="43"/>
      <c r="IG129" s="43"/>
      <c r="IH129" s="43"/>
      <c r="II129" s="43"/>
      <c r="IJ129" s="43"/>
      <c r="IK129" s="43"/>
      <c r="IL129" s="43"/>
      <c r="IM129" s="43"/>
      <c r="IN129" s="43"/>
      <c r="IO129" s="43"/>
      <c r="IP129" s="43"/>
      <c r="IQ129" s="43"/>
      <c r="IR129" s="43"/>
      <c r="IS129" s="43"/>
      <c r="IT129" s="43"/>
    </row>
    <row r="130" spans="1:254" ht="13.7" customHeight="1">
      <c r="A130" s="43"/>
      <c r="B130" s="47" t="s">
        <v>404</v>
      </c>
      <c r="C130" s="208" t="s">
        <v>282</v>
      </c>
      <c r="D130" s="209">
        <v>0</v>
      </c>
      <c r="E130" s="164" t="s">
        <v>405</v>
      </c>
      <c r="F130" s="208" t="s">
        <v>406</v>
      </c>
      <c r="G130" s="209">
        <v>0</v>
      </c>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3"/>
      <c r="GS130" s="43"/>
      <c r="GT130" s="43"/>
      <c r="GU130" s="43"/>
      <c r="GV130" s="43"/>
      <c r="GW130" s="43"/>
      <c r="GX130" s="43"/>
      <c r="GY130" s="43"/>
      <c r="GZ130" s="43"/>
      <c r="HA130" s="43"/>
      <c r="HB130" s="43"/>
      <c r="HC130" s="43"/>
      <c r="HD130" s="43"/>
      <c r="HE130" s="43"/>
      <c r="HF130" s="43"/>
      <c r="HG130" s="43"/>
      <c r="HH130" s="43"/>
      <c r="HI130" s="43"/>
      <c r="HJ130" s="43"/>
      <c r="HK130" s="43"/>
      <c r="HL130" s="43"/>
      <c r="HM130" s="43"/>
      <c r="HN130" s="43"/>
      <c r="HO130" s="43"/>
      <c r="HP130" s="43"/>
      <c r="HQ130" s="43"/>
      <c r="HR130" s="43"/>
      <c r="HS130" s="43"/>
      <c r="HT130" s="43"/>
      <c r="HU130" s="43"/>
      <c r="HV130" s="43"/>
      <c r="HW130" s="43"/>
      <c r="HX130" s="43"/>
      <c r="HY130" s="43"/>
      <c r="HZ130" s="43"/>
      <c r="IA130" s="43"/>
      <c r="IB130" s="43"/>
      <c r="IC130" s="43"/>
      <c r="ID130" s="43"/>
      <c r="IE130" s="43"/>
      <c r="IF130" s="43"/>
      <c r="IG130" s="43"/>
      <c r="IH130" s="43"/>
      <c r="II130" s="43"/>
      <c r="IJ130" s="43"/>
      <c r="IK130" s="43"/>
      <c r="IL130" s="43"/>
      <c r="IM130" s="43"/>
      <c r="IN130" s="43"/>
      <c r="IO130" s="43"/>
      <c r="IP130" s="43"/>
      <c r="IQ130" s="43"/>
      <c r="IR130" s="43"/>
      <c r="IS130" s="43"/>
      <c r="IT130" s="43"/>
    </row>
    <row r="131" spans="1:254" ht="13.7" customHeight="1">
      <c r="A131" s="43"/>
      <c r="B131" s="47" t="s">
        <v>407</v>
      </c>
      <c r="C131" s="208" t="s">
        <v>286</v>
      </c>
      <c r="D131" s="209">
        <v>0</v>
      </c>
      <c r="E131" s="164" t="s">
        <v>408</v>
      </c>
      <c r="F131" s="208" t="s">
        <v>409</v>
      </c>
      <c r="G131" s="209">
        <v>0</v>
      </c>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row>
    <row r="132" spans="1:254" ht="13.7" customHeight="1">
      <c r="A132" s="43"/>
      <c r="B132" s="47" t="s">
        <v>410</v>
      </c>
      <c r="C132" s="208" t="s">
        <v>290</v>
      </c>
      <c r="D132" s="209">
        <v>0</v>
      </c>
      <c r="E132" s="164" t="s">
        <v>411</v>
      </c>
      <c r="F132" s="208" t="s">
        <v>412</v>
      </c>
      <c r="G132" s="209">
        <v>0</v>
      </c>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row>
    <row r="133" spans="1:254" ht="13.7" customHeight="1">
      <c r="A133" s="43"/>
      <c r="B133" s="47" t="s">
        <v>413</v>
      </c>
      <c r="C133" s="208" t="s">
        <v>294</v>
      </c>
      <c r="D133" s="209">
        <v>0</v>
      </c>
      <c r="E133" s="164" t="s">
        <v>414</v>
      </c>
      <c r="F133" s="208" t="s">
        <v>415</v>
      </c>
      <c r="G133" s="209">
        <v>0</v>
      </c>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row>
    <row r="134" spans="1:254" ht="13.7" customHeight="1">
      <c r="A134" s="43"/>
      <c r="B134" s="47" t="s">
        <v>416</v>
      </c>
      <c r="C134" s="208" t="s">
        <v>417</v>
      </c>
      <c r="D134" s="209">
        <v>21353436</v>
      </c>
      <c r="E134" s="164" t="s">
        <v>418</v>
      </c>
      <c r="F134" s="208" t="s">
        <v>419</v>
      </c>
      <c r="G134" s="209">
        <v>0</v>
      </c>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row>
    <row r="135" spans="1:254" ht="13.7" customHeight="1">
      <c r="A135" s="43"/>
      <c r="B135" s="47" t="s">
        <v>420</v>
      </c>
      <c r="C135" s="208" t="s">
        <v>421</v>
      </c>
      <c r="D135" s="209">
        <v>13442747.289999999</v>
      </c>
      <c r="E135" s="164" t="s">
        <v>422</v>
      </c>
      <c r="F135" s="208" t="s">
        <v>423</v>
      </c>
      <c r="G135" s="209">
        <v>0</v>
      </c>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row>
    <row r="136" spans="1:254" ht="13.7" customHeight="1">
      <c r="A136" s="43"/>
      <c r="B136" s="47" t="s">
        <v>424</v>
      </c>
      <c r="C136" s="208" t="s">
        <v>317</v>
      </c>
      <c r="D136" s="209">
        <f>17675896.81+900207.2+8593+1249581.09+393690.92</f>
        <v>20227969.02</v>
      </c>
      <c r="E136" s="164" t="s">
        <v>425</v>
      </c>
      <c r="F136" s="208" t="s">
        <v>426</v>
      </c>
      <c r="G136" s="209">
        <v>0</v>
      </c>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row>
    <row r="137" spans="1:254" ht="13.7" customHeight="1">
      <c r="A137" s="43"/>
      <c r="B137" s="47" t="s">
        <v>427</v>
      </c>
      <c r="C137" s="162" t="s">
        <v>319</v>
      </c>
      <c r="D137" s="211">
        <v>3471050</v>
      </c>
      <c r="E137" s="164" t="s">
        <v>428</v>
      </c>
      <c r="F137" s="208" t="s">
        <v>429</v>
      </c>
      <c r="G137" s="209">
        <v>82265543.129999995</v>
      </c>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3"/>
      <c r="HF137" s="43"/>
      <c r="HG137" s="43"/>
      <c r="HH137" s="43"/>
      <c r="HI137" s="43"/>
      <c r="HJ137" s="43"/>
      <c r="HK137" s="43"/>
      <c r="HL137" s="43"/>
      <c r="HM137" s="43"/>
      <c r="HN137" s="43"/>
      <c r="HO137" s="43"/>
      <c r="HP137" s="43"/>
      <c r="HQ137" s="43"/>
      <c r="HR137" s="43"/>
      <c r="HS137" s="43"/>
      <c r="HT137" s="43"/>
      <c r="HU137" s="43"/>
      <c r="HV137" s="43"/>
      <c r="HW137" s="43"/>
      <c r="HX137" s="43"/>
      <c r="HY137" s="43"/>
      <c r="HZ137" s="43"/>
      <c r="IA137" s="43"/>
      <c r="IB137" s="43"/>
      <c r="IC137" s="43"/>
      <c r="ID137" s="43"/>
      <c r="IE137" s="43"/>
      <c r="IF137" s="43"/>
      <c r="IG137" s="43"/>
      <c r="IH137" s="43"/>
      <c r="II137" s="43"/>
      <c r="IJ137" s="43"/>
      <c r="IK137" s="43"/>
      <c r="IL137" s="43"/>
      <c r="IM137" s="43"/>
      <c r="IN137" s="43"/>
      <c r="IO137" s="43"/>
      <c r="IP137" s="43"/>
      <c r="IQ137" s="43"/>
      <c r="IR137" s="43"/>
      <c r="IS137" s="43"/>
      <c r="IT137" s="43"/>
    </row>
    <row r="138" spans="1:254" ht="13.7" customHeight="1" thickBot="1">
      <c r="A138" s="43"/>
      <c r="B138" s="47"/>
      <c r="C138" s="171" t="s">
        <v>320</v>
      </c>
      <c r="D138" s="180">
        <f>SUM(D127:D137)</f>
        <v>102247152.30999999</v>
      </c>
      <c r="E138" s="164" t="s">
        <v>430</v>
      </c>
      <c r="F138" s="162" t="s">
        <v>431</v>
      </c>
      <c r="G138" s="168">
        <v>1589061</v>
      </c>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c r="IK138" s="43"/>
      <c r="IL138" s="43"/>
      <c r="IM138" s="43"/>
      <c r="IN138" s="43"/>
      <c r="IO138" s="43"/>
      <c r="IP138" s="43"/>
      <c r="IQ138" s="43"/>
      <c r="IR138" s="43"/>
      <c r="IS138" s="43"/>
      <c r="IT138" s="43"/>
    </row>
    <row r="139" spans="1:254" ht="13.7" customHeight="1" thickBot="1">
      <c r="A139" s="43"/>
      <c r="B139" s="47" t="s">
        <v>432</v>
      </c>
      <c r="C139" s="206" t="s">
        <v>326</v>
      </c>
      <c r="D139" s="207">
        <v>7600</v>
      </c>
      <c r="E139" s="212"/>
      <c r="F139" s="171" t="s">
        <v>433</v>
      </c>
      <c r="G139" s="180">
        <f>SUM(G124:G138)</f>
        <v>103108048.56999999</v>
      </c>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c r="IK139" s="43"/>
      <c r="IL139" s="43"/>
      <c r="IM139" s="43"/>
      <c r="IN139" s="43"/>
      <c r="IO139" s="43"/>
      <c r="IP139" s="43"/>
      <c r="IQ139" s="43"/>
      <c r="IR139" s="43"/>
      <c r="IS139" s="43"/>
      <c r="IT139" s="43"/>
    </row>
    <row r="140" spans="1:254" ht="13.7" customHeight="1" thickBot="1">
      <c r="A140" s="43"/>
      <c r="B140" s="47" t="s">
        <v>434</v>
      </c>
      <c r="C140" s="208" t="s">
        <v>328</v>
      </c>
      <c r="D140" s="209">
        <v>0</v>
      </c>
      <c r="E140" s="212"/>
      <c r="F140" s="197" t="s">
        <v>435</v>
      </c>
      <c r="G140" s="213">
        <f>G123-G139</f>
        <v>-75029310.359999985</v>
      </c>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c r="IK140" s="43"/>
      <c r="IL140" s="43"/>
      <c r="IM140" s="43"/>
      <c r="IN140" s="43"/>
      <c r="IO140" s="43"/>
      <c r="IP140" s="43"/>
      <c r="IQ140" s="43"/>
      <c r="IR140" s="43"/>
      <c r="IS140" s="43"/>
      <c r="IT140" s="43"/>
    </row>
    <row r="141" spans="1:254" ht="13.7" customHeight="1">
      <c r="A141" s="43"/>
      <c r="B141" s="47" t="s">
        <v>436</v>
      </c>
      <c r="C141" s="162" t="s">
        <v>330</v>
      </c>
      <c r="D141" s="211">
        <v>227</v>
      </c>
      <c r="E141" s="214"/>
      <c r="F141" s="161"/>
      <c r="G141" s="161"/>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c r="IO141" s="43"/>
      <c r="IP141" s="43"/>
      <c r="IQ141" s="43"/>
      <c r="IR141" s="43"/>
      <c r="IS141" s="43"/>
      <c r="IT141" s="43"/>
    </row>
    <row r="142" spans="1:254" ht="13.7" customHeight="1" thickBot="1">
      <c r="A142" s="43"/>
      <c r="B142" s="47"/>
      <c r="C142" s="171" t="s">
        <v>331</v>
      </c>
      <c r="D142" s="180">
        <f>SUM(D139:D141)</f>
        <v>7827</v>
      </c>
      <c r="E142" s="214"/>
      <c r="F142" s="161"/>
      <c r="G142" s="161"/>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3"/>
      <c r="GS142" s="43"/>
      <c r="GT142" s="43"/>
      <c r="GU142" s="43"/>
      <c r="GV142" s="43"/>
      <c r="GW142" s="43"/>
      <c r="GX142" s="43"/>
      <c r="GY142" s="43"/>
      <c r="GZ142" s="43"/>
      <c r="HA142" s="43"/>
      <c r="HB142" s="43"/>
      <c r="HC142" s="43"/>
      <c r="HD142" s="43"/>
      <c r="HE142" s="43"/>
      <c r="HF142" s="43"/>
      <c r="HG142" s="43"/>
      <c r="HH142" s="43"/>
      <c r="HI142" s="43"/>
      <c r="HJ142" s="43"/>
      <c r="HK142" s="43"/>
      <c r="HL142" s="43"/>
      <c r="HM142" s="43"/>
      <c r="HN142" s="43"/>
      <c r="HO142" s="43"/>
      <c r="HP142" s="43"/>
      <c r="HQ142" s="43"/>
      <c r="HR142" s="43"/>
      <c r="HS142" s="43"/>
      <c r="HT142" s="43"/>
      <c r="HU142" s="43"/>
      <c r="HV142" s="43"/>
      <c r="HW142" s="43"/>
      <c r="HX142" s="43"/>
      <c r="HY142" s="43"/>
      <c r="HZ142" s="43"/>
      <c r="IA142" s="43"/>
      <c r="IB142" s="43"/>
      <c r="IC142" s="43"/>
      <c r="ID142" s="43"/>
      <c r="IE142" s="43"/>
      <c r="IF142" s="43"/>
      <c r="IG142" s="43"/>
      <c r="IH142" s="43"/>
      <c r="II142" s="43"/>
      <c r="IJ142" s="43"/>
      <c r="IK142" s="43"/>
      <c r="IL142" s="43"/>
      <c r="IM142" s="43"/>
      <c r="IN142" s="43"/>
      <c r="IO142" s="43"/>
      <c r="IP142" s="43"/>
      <c r="IQ142" s="43"/>
      <c r="IR142" s="43"/>
      <c r="IS142" s="43"/>
      <c r="IT142" s="43"/>
    </row>
    <row r="143" spans="1:254" ht="13.5" customHeight="1" thickBot="1">
      <c r="A143" s="43"/>
      <c r="B143" s="47"/>
      <c r="C143" s="197" t="s">
        <v>332</v>
      </c>
      <c r="D143" s="213">
        <f>[10]Amortizaciones!D33</f>
        <v>32269375</v>
      </c>
      <c r="E143" s="161"/>
      <c r="F143" s="189" t="s">
        <v>437</v>
      </c>
      <c r="G143" s="205">
        <f>+[10]E.S.P.!D6</f>
        <v>2021</v>
      </c>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c r="IK143" s="43"/>
      <c r="IL143" s="43"/>
      <c r="IM143" s="43"/>
      <c r="IN143" s="43"/>
      <c r="IO143" s="43"/>
      <c r="IP143" s="43"/>
      <c r="IQ143" s="43"/>
      <c r="IR143" s="43"/>
      <c r="IS143" s="43"/>
      <c r="IT143" s="43"/>
    </row>
    <row r="144" spans="1:254" ht="13.7" customHeight="1">
      <c r="A144" s="43"/>
      <c r="B144" s="47" t="s">
        <v>438</v>
      </c>
      <c r="C144" s="206" t="s">
        <v>439</v>
      </c>
      <c r="D144" s="207">
        <v>11242456</v>
      </c>
      <c r="E144" s="164" t="s">
        <v>440</v>
      </c>
      <c r="F144" s="206" t="s">
        <v>441</v>
      </c>
      <c r="G144" s="207">
        <f>40006881.9+6642273.37</f>
        <v>46649155.269999996</v>
      </c>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c r="IO144" s="43"/>
      <c r="IP144" s="43"/>
      <c r="IQ144" s="43"/>
      <c r="IR144" s="43"/>
      <c r="IS144" s="43"/>
      <c r="IT144" s="43"/>
    </row>
    <row r="145" spans="1:254" ht="13.7" customHeight="1">
      <c r="A145" s="43"/>
      <c r="B145" s="47" t="s">
        <v>442</v>
      </c>
      <c r="C145" s="208" t="s">
        <v>443</v>
      </c>
      <c r="D145" s="209">
        <v>4697504</v>
      </c>
      <c r="E145" s="164" t="s">
        <v>444</v>
      </c>
      <c r="F145" s="208" t="s">
        <v>445</v>
      </c>
      <c r="G145" s="209"/>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c r="IO145" s="43"/>
      <c r="IP145" s="43"/>
      <c r="IQ145" s="43"/>
      <c r="IR145" s="43"/>
      <c r="IS145" s="43"/>
      <c r="IT145" s="43"/>
    </row>
    <row r="146" spans="1:254" ht="13.7" customHeight="1">
      <c r="A146" s="43"/>
      <c r="B146" s="47" t="s">
        <v>446</v>
      </c>
      <c r="C146" s="215" t="s">
        <v>447</v>
      </c>
      <c r="D146" s="209">
        <v>0</v>
      </c>
      <c r="E146" s="164" t="s">
        <v>448</v>
      </c>
      <c r="F146" s="208" t="s">
        <v>449</v>
      </c>
      <c r="G146" s="209">
        <v>19432.97</v>
      </c>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c r="IO146" s="43"/>
      <c r="IP146" s="43"/>
      <c r="IQ146" s="43"/>
      <c r="IR146" s="43"/>
      <c r="IS146" s="43"/>
      <c r="IT146" s="43"/>
    </row>
    <row r="147" spans="1:254" ht="13.7" customHeight="1">
      <c r="A147" s="43"/>
      <c r="B147" s="47" t="s">
        <v>450</v>
      </c>
      <c r="C147" s="162" t="s">
        <v>451</v>
      </c>
      <c r="D147" s="211">
        <v>569826</v>
      </c>
      <c r="E147" s="164" t="s">
        <v>452</v>
      </c>
      <c r="F147" s="208" t="s">
        <v>453</v>
      </c>
      <c r="G147" s="209">
        <v>0</v>
      </c>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c r="IK147" s="43"/>
      <c r="IL147" s="43"/>
      <c r="IM147" s="43"/>
      <c r="IN147" s="43"/>
      <c r="IO147" s="43"/>
      <c r="IP147" s="43"/>
      <c r="IQ147" s="43"/>
      <c r="IR147" s="43"/>
      <c r="IS147" s="43"/>
      <c r="IT147" s="43"/>
    </row>
    <row r="148" spans="1:254" ht="13.7" customHeight="1" thickBot="1">
      <c r="A148" s="43"/>
      <c r="B148" s="47"/>
      <c r="C148" s="171" t="s">
        <v>518</v>
      </c>
      <c r="D148" s="180">
        <f>SUM(D144:D147)</f>
        <v>16509786</v>
      </c>
      <c r="E148" s="164" t="s">
        <v>454</v>
      </c>
      <c r="F148" s="208" t="s">
        <v>455</v>
      </c>
      <c r="G148" s="209">
        <v>0</v>
      </c>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c r="IK148" s="43"/>
      <c r="IL148" s="43"/>
      <c r="IM148" s="43"/>
      <c r="IN148" s="43"/>
      <c r="IO148" s="43"/>
      <c r="IP148" s="43"/>
      <c r="IQ148" s="43"/>
      <c r="IR148" s="43"/>
      <c r="IS148" s="43"/>
      <c r="IT148" s="43"/>
    </row>
    <row r="149" spans="1:254" ht="13.7" customHeight="1">
      <c r="A149" s="43"/>
      <c r="B149" s="47" t="s">
        <v>456</v>
      </c>
      <c r="C149" s="206" t="s">
        <v>457</v>
      </c>
      <c r="D149" s="207">
        <v>0</v>
      </c>
      <c r="E149" s="164" t="s">
        <v>458</v>
      </c>
      <c r="F149" s="208" t="s">
        <v>459</v>
      </c>
      <c r="G149" s="209"/>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c r="IM149" s="43"/>
      <c r="IN149" s="43"/>
      <c r="IO149" s="43"/>
      <c r="IP149" s="43"/>
      <c r="IQ149" s="43"/>
      <c r="IR149" s="43"/>
      <c r="IS149" s="43"/>
      <c r="IT149" s="43"/>
    </row>
    <row r="150" spans="1:254" ht="13.7" customHeight="1">
      <c r="A150" s="43"/>
      <c r="B150" s="47" t="s">
        <v>460</v>
      </c>
      <c r="C150" s="208" t="s">
        <v>461</v>
      </c>
      <c r="D150" s="209">
        <v>0</v>
      </c>
      <c r="E150" s="164" t="s">
        <v>462</v>
      </c>
      <c r="F150" s="208" t="s">
        <v>463</v>
      </c>
      <c r="G150" s="209">
        <v>0</v>
      </c>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3"/>
      <c r="GS150" s="43"/>
      <c r="GT150" s="43"/>
      <c r="GU150" s="43"/>
      <c r="GV150" s="43"/>
      <c r="GW150" s="43"/>
      <c r="GX150" s="43"/>
      <c r="GY150" s="43"/>
      <c r="GZ150" s="43"/>
      <c r="HA150" s="43"/>
      <c r="HB150" s="43"/>
      <c r="HC150" s="43"/>
      <c r="HD150" s="43"/>
      <c r="HE150" s="43"/>
      <c r="HF150" s="43"/>
      <c r="HG150" s="43"/>
      <c r="HH150" s="43"/>
      <c r="HI150" s="43"/>
      <c r="HJ150" s="43"/>
      <c r="HK150" s="43"/>
      <c r="HL150" s="43"/>
      <c r="HM150" s="43"/>
      <c r="HN150" s="43"/>
      <c r="HO150" s="43"/>
      <c r="HP150" s="43"/>
      <c r="HQ150" s="43"/>
      <c r="HR150" s="43"/>
      <c r="HS150" s="43"/>
      <c r="HT150" s="43"/>
      <c r="HU150" s="43"/>
      <c r="HV150" s="43"/>
      <c r="HW150" s="43"/>
      <c r="HX150" s="43"/>
      <c r="HY150" s="43"/>
      <c r="HZ150" s="43"/>
      <c r="IA150" s="43"/>
      <c r="IB150" s="43"/>
      <c r="IC150" s="43"/>
      <c r="ID150" s="43"/>
      <c r="IE150" s="43"/>
      <c r="IF150" s="43"/>
      <c r="IG150" s="43"/>
      <c r="IH150" s="43"/>
      <c r="II150" s="43"/>
      <c r="IJ150" s="43"/>
      <c r="IK150" s="43"/>
      <c r="IL150" s="43"/>
      <c r="IM150" s="43"/>
      <c r="IN150" s="43"/>
      <c r="IO150" s="43"/>
      <c r="IP150" s="43"/>
      <c r="IQ150" s="43"/>
      <c r="IR150" s="43"/>
      <c r="IS150" s="43"/>
      <c r="IT150" s="43"/>
    </row>
    <row r="151" spans="1:254" ht="13.7" customHeight="1">
      <c r="A151" s="43"/>
      <c r="B151" s="47" t="s">
        <v>464</v>
      </c>
      <c r="C151" s="162" t="s">
        <v>465</v>
      </c>
      <c r="D151" s="211">
        <v>0</v>
      </c>
      <c r="E151" s="164" t="s">
        <v>466</v>
      </c>
      <c r="F151" s="208" t="s">
        <v>467</v>
      </c>
      <c r="G151" s="209">
        <v>10076413</v>
      </c>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c r="GY151" s="43"/>
      <c r="GZ151" s="43"/>
      <c r="HA151" s="43"/>
      <c r="HB151" s="43"/>
      <c r="HC151" s="43"/>
      <c r="HD151" s="43"/>
      <c r="HE151" s="43"/>
      <c r="HF151" s="43"/>
      <c r="HG151" s="43"/>
      <c r="HH151" s="43"/>
      <c r="HI151" s="43"/>
      <c r="HJ151" s="43"/>
      <c r="HK151" s="43"/>
      <c r="HL151" s="43"/>
      <c r="HM151" s="43"/>
      <c r="HN151" s="43"/>
      <c r="HO151" s="43"/>
      <c r="HP151" s="43"/>
      <c r="HQ151" s="43"/>
      <c r="HR151" s="43"/>
      <c r="HS151" s="43"/>
      <c r="HT151" s="43"/>
      <c r="HU151" s="43"/>
      <c r="HV151" s="43"/>
      <c r="HW151" s="43"/>
      <c r="HX151" s="43"/>
      <c r="HY151" s="43"/>
      <c r="HZ151" s="43"/>
      <c r="IA151" s="43"/>
      <c r="IB151" s="43"/>
      <c r="IC151" s="43"/>
      <c r="ID151" s="43"/>
      <c r="IE151" s="43"/>
      <c r="IF151" s="43"/>
      <c r="IG151" s="43"/>
      <c r="IH151" s="43"/>
      <c r="II151" s="43"/>
      <c r="IJ151" s="43"/>
      <c r="IK151" s="43"/>
      <c r="IL151" s="43"/>
      <c r="IM151" s="43"/>
      <c r="IN151" s="43"/>
      <c r="IO151" s="43"/>
      <c r="IP151" s="43"/>
      <c r="IQ151" s="43"/>
      <c r="IR151" s="43"/>
      <c r="IS151" s="43"/>
      <c r="IT151" s="43"/>
    </row>
    <row r="152" spans="1:254" ht="13.7" customHeight="1" thickBot="1">
      <c r="A152" s="43"/>
      <c r="B152" s="47"/>
      <c r="C152" s="171" t="s">
        <v>516</v>
      </c>
      <c r="D152" s="180">
        <f>SUM(D149:D151)</f>
        <v>0</v>
      </c>
      <c r="E152" s="164" t="s">
        <v>469</v>
      </c>
      <c r="F152" s="208" t="s">
        <v>470</v>
      </c>
      <c r="G152" s="209"/>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43"/>
      <c r="FJ152" s="43"/>
      <c r="FK152" s="43"/>
      <c r="FL152" s="43"/>
      <c r="FM152" s="43"/>
      <c r="FN152" s="43"/>
      <c r="FO152" s="43"/>
      <c r="FP152" s="43"/>
      <c r="FQ152" s="43"/>
      <c r="FR152" s="43"/>
      <c r="FS152" s="43"/>
      <c r="FT152" s="43"/>
      <c r="FU152" s="43"/>
      <c r="FV152" s="43"/>
      <c r="FW152" s="43"/>
      <c r="FX152" s="43"/>
      <c r="FY152" s="43"/>
      <c r="FZ152" s="43"/>
      <c r="GA152" s="43"/>
      <c r="GB152" s="43"/>
      <c r="GC152" s="43"/>
      <c r="GD152" s="43"/>
      <c r="GE152" s="43"/>
      <c r="GF152" s="43"/>
      <c r="GG152" s="43"/>
      <c r="GH152" s="43"/>
      <c r="GI152" s="43"/>
      <c r="GJ152" s="43"/>
      <c r="GK152" s="43"/>
      <c r="GL152" s="43"/>
      <c r="GM152" s="43"/>
      <c r="GN152" s="43"/>
      <c r="GO152" s="43"/>
      <c r="GP152" s="43"/>
      <c r="GQ152" s="43"/>
      <c r="GR152" s="43"/>
      <c r="GS152" s="43"/>
      <c r="GT152" s="43"/>
      <c r="GU152" s="43"/>
      <c r="GV152" s="43"/>
      <c r="GW152" s="43"/>
      <c r="GX152" s="43"/>
      <c r="GY152" s="43"/>
      <c r="GZ152" s="43"/>
      <c r="HA152" s="43"/>
      <c r="HB152" s="43"/>
      <c r="HC152" s="43"/>
      <c r="HD152" s="43"/>
      <c r="HE152" s="43"/>
      <c r="HF152" s="43"/>
      <c r="HG152" s="43"/>
      <c r="HH152" s="43"/>
      <c r="HI152" s="43"/>
      <c r="HJ152" s="43"/>
      <c r="HK152" s="43"/>
      <c r="HL152" s="43"/>
      <c r="HM152" s="43"/>
      <c r="HN152" s="43"/>
      <c r="HO152" s="43"/>
      <c r="HP152" s="43"/>
      <c r="HQ152" s="43"/>
      <c r="HR152" s="43"/>
      <c r="HS152" s="43"/>
      <c r="HT152" s="43"/>
      <c r="HU152" s="43"/>
      <c r="HV152" s="43"/>
      <c r="HW152" s="43"/>
      <c r="HX152" s="43"/>
      <c r="HY152" s="43"/>
      <c r="HZ152" s="43"/>
      <c r="IA152" s="43"/>
      <c r="IB152" s="43"/>
      <c r="IC152" s="43"/>
      <c r="ID152" s="43"/>
      <c r="IE152" s="43"/>
      <c r="IF152" s="43"/>
      <c r="IG152" s="43"/>
      <c r="IH152" s="43"/>
      <c r="II152" s="43"/>
      <c r="IJ152" s="43"/>
      <c r="IK152" s="43"/>
      <c r="IL152" s="43"/>
      <c r="IM152" s="43"/>
      <c r="IN152" s="43"/>
      <c r="IO152" s="43"/>
      <c r="IP152" s="43"/>
      <c r="IQ152" s="43"/>
      <c r="IR152" s="43"/>
      <c r="IS152" s="43"/>
      <c r="IT152" s="43"/>
    </row>
    <row r="153" spans="1:254" ht="15" customHeight="1" thickBot="1">
      <c r="A153" s="43"/>
      <c r="B153" s="47"/>
      <c r="C153" s="197" t="s">
        <v>471</v>
      </c>
      <c r="D153" s="216">
        <f>D122+D126+D138+D142+D143+D148+D152</f>
        <v>594029078.30999994</v>
      </c>
      <c r="E153" s="164" t="s">
        <v>472</v>
      </c>
      <c r="F153" s="162" t="s">
        <v>473</v>
      </c>
      <c r="G153" s="168">
        <v>1522599</v>
      </c>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43"/>
      <c r="FL153" s="43"/>
      <c r="FM153" s="43"/>
      <c r="FN153" s="43"/>
      <c r="FO153" s="43"/>
      <c r="FP153" s="43"/>
      <c r="FQ153" s="43"/>
      <c r="FR153" s="43"/>
      <c r="FS153" s="43"/>
      <c r="FT153" s="43"/>
      <c r="FU153" s="43"/>
      <c r="FV153" s="43"/>
      <c r="FW153" s="43"/>
      <c r="FX153" s="43"/>
      <c r="FY153" s="43"/>
      <c r="FZ153" s="43"/>
      <c r="GA153" s="43"/>
      <c r="GB153" s="43"/>
      <c r="GC153" s="43"/>
      <c r="GD153" s="43"/>
      <c r="GE153" s="43"/>
      <c r="GF153" s="43"/>
      <c r="GG153" s="43"/>
      <c r="GH153" s="43"/>
      <c r="GI153" s="43"/>
      <c r="GJ153" s="43"/>
      <c r="GK153" s="43"/>
      <c r="GL153" s="43"/>
      <c r="GM153" s="43"/>
      <c r="GN153" s="43"/>
      <c r="GO153" s="43"/>
      <c r="GP153" s="43"/>
      <c r="GQ153" s="43"/>
      <c r="GR153" s="43"/>
      <c r="GS153" s="43"/>
      <c r="GT153" s="43"/>
      <c r="GU153" s="43"/>
      <c r="GV153" s="43"/>
      <c r="GW153" s="43"/>
      <c r="GX153" s="43"/>
      <c r="GY153" s="43"/>
      <c r="GZ153" s="43"/>
      <c r="HA153" s="43"/>
      <c r="HB153" s="43"/>
      <c r="HC153" s="43"/>
      <c r="HD153" s="43"/>
      <c r="HE153" s="43"/>
      <c r="HF153" s="43"/>
      <c r="HG153" s="43"/>
      <c r="HH153" s="43"/>
      <c r="HI153" s="43"/>
      <c r="HJ153" s="43"/>
      <c r="HK153" s="43"/>
      <c r="HL153" s="43"/>
      <c r="HM153" s="43"/>
      <c r="HN153" s="43"/>
      <c r="HO153" s="43"/>
      <c r="HP153" s="43"/>
      <c r="HQ153" s="43"/>
      <c r="HR153" s="43"/>
      <c r="HS153" s="43"/>
      <c r="HT153" s="43"/>
      <c r="HU153" s="43"/>
      <c r="HV153" s="43"/>
      <c r="HW153" s="43"/>
      <c r="HX153" s="43"/>
      <c r="HY153" s="43"/>
      <c r="HZ153" s="43"/>
      <c r="IA153" s="43"/>
      <c r="IB153" s="43"/>
      <c r="IC153" s="43"/>
      <c r="ID153" s="43"/>
      <c r="IE153" s="43"/>
      <c r="IF153" s="43"/>
      <c r="IG153" s="43"/>
      <c r="IH153" s="43"/>
      <c r="II153" s="43"/>
      <c r="IJ153" s="43"/>
      <c r="IK153" s="43"/>
      <c r="IL153" s="43"/>
      <c r="IM153" s="43"/>
      <c r="IN153" s="43"/>
      <c r="IO153" s="43"/>
      <c r="IP153" s="43"/>
      <c r="IQ153" s="43"/>
      <c r="IR153" s="43"/>
      <c r="IS153" s="43"/>
      <c r="IT153" s="43"/>
    </row>
    <row r="154" spans="1:254" ht="13.7" customHeight="1" thickBot="1">
      <c r="A154" s="43"/>
      <c r="B154" s="47"/>
      <c r="C154" s="161"/>
      <c r="D154" s="161"/>
      <c r="E154" s="161"/>
      <c r="F154" s="171" t="s">
        <v>474</v>
      </c>
      <c r="G154" s="180">
        <f>SUM(G144:G153)</f>
        <v>58267600.239999995</v>
      </c>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c r="FF154" s="43"/>
      <c r="FG154" s="43"/>
      <c r="FH154" s="43"/>
      <c r="FI154" s="43"/>
      <c r="FJ154" s="43"/>
      <c r="FK154" s="43"/>
      <c r="FL154" s="43"/>
      <c r="FM154" s="43"/>
      <c r="FN154" s="43"/>
      <c r="FO154" s="43"/>
      <c r="FP154" s="43"/>
      <c r="FQ154" s="43"/>
      <c r="FR154" s="43"/>
      <c r="FS154" s="43"/>
      <c r="FT154" s="43"/>
      <c r="FU154" s="43"/>
      <c r="FV154" s="43"/>
      <c r="FW154" s="43"/>
      <c r="FX154" s="43"/>
      <c r="FY154" s="43"/>
      <c r="FZ154" s="43"/>
      <c r="GA154" s="43"/>
      <c r="GB154" s="43"/>
      <c r="GC154" s="43"/>
      <c r="GD154" s="43"/>
      <c r="GE154" s="43"/>
      <c r="GF154" s="43"/>
      <c r="GG154" s="43"/>
      <c r="GH154" s="43"/>
      <c r="GI154" s="43"/>
      <c r="GJ154" s="43"/>
      <c r="GK154" s="43"/>
      <c r="GL154" s="43"/>
      <c r="GM154" s="43"/>
      <c r="GN154" s="43"/>
      <c r="GO154" s="43"/>
      <c r="GP154" s="43"/>
      <c r="GQ154" s="43"/>
      <c r="GR154" s="43"/>
      <c r="GS154" s="43"/>
      <c r="GT154" s="43"/>
      <c r="GU154" s="43"/>
      <c r="GV154" s="43"/>
      <c r="GW154" s="43"/>
      <c r="GX154" s="43"/>
      <c r="GY154" s="43"/>
      <c r="GZ154" s="43"/>
      <c r="HA154" s="43"/>
      <c r="HB154" s="43"/>
      <c r="HC154" s="43"/>
      <c r="HD154" s="43"/>
      <c r="HE154" s="43"/>
      <c r="HF154" s="43"/>
      <c r="HG154" s="43"/>
      <c r="HH154" s="43"/>
      <c r="HI154" s="43"/>
      <c r="HJ154" s="43"/>
      <c r="HK154" s="43"/>
      <c r="HL154" s="43"/>
      <c r="HM154" s="43"/>
      <c r="HN154" s="43"/>
      <c r="HO154" s="43"/>
      <c r="HP154" s="43"/>
      <c r="HQ154" s="43"/>
      <c r="HR154" s="43"/>
      <c r="HS154" s="43"/>
      <c r="HT154" s="43"/>
      <c r="HU154" s="43"/>
      <c r="HV154" s="43"/>
      <c r="HW154" s="43"/>
      <c r="HX154" s="43"/>
      <c r="HY154" s="43"/>
      <c r="HZ154" s="43"/>
      <c r="IA154" s="43"/>
      <c r="IB154" s="43"/>
      <c r="IC154" s="43"/>
      <c r="ID154" s="43"/>
      <c r="IE154" s="43"/>
      <c r="IF154" s="43"/>
      <c r="IG154" s="43"/>
      <c r="IH154" s="43"/>
      <c r="II154" s="43"/>
      <c r="IJ154" s="43"/>
      <c r="IK154" s="43"/>
      <c r="IL154" s="43"/>
      <c r="IM154" s="43"/>
      <c r="IN154" s="43"/>
      <c r="IO154" s="43"/>
      <c r="IP154" s="43"/>
      <c r="IQ154" s="43"/>
      <c r="IR154" s="43"/>
      <c r="IS154" s="43"/>
      <c r="IT154" s="43"/>
    </row>
    <row r="155" spans="1:254" ht="13.5" customHeight="1" thickBot="1">
      <c r="A155" s="43"/>
      <c r="B155" s="47"/>
      <c r="C155" s="189" t="s">
        <v>475</v>
      </c>
      <c r="D155" s="190">
        <f>G109-D153</f>
        <v>260692708.97000074</v>
      </c>
      <c r="E155" s="164" t="s">
        <v>476</v>
      </c>
      <c r="F155" s="206" t="s">
        <v>477</v>
      </c>
      <c r="G155" s="207">
        <v>14030451</v>
      </c>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3"/>
      <c r="GS155" s="43"/>
      <c r="GT155" s="43"/>
      <c r="GU155" s="43"/>
      <c r="GV155" s="43"/>
      <c r="GW155" s="43"/>
      <c r="GX155" s="43"/>
      <c r="GY155" s="43"/>
      <c r="GZ155" s="43"/>
      <c r="HA155" s="43"/>
      <c r="HB155" s="43"/>
      <c r="HC155" s="43"/>
      <c r="HD155" s="43"/>
      <c r="HE155" s="43"/>
      <c r="HF155" s="43"/>
      <c r="HG155" s="43"/>
      <c r="HH155" s="43"/>
      <c r="HI155" s="43"/>
      <c r="HJ155" s="43"/>
      <c r="HK155" s="43"/>
      <c r="HL155" s="43"/>
      <c r="HM155" s="43"/>
      <c r="HN155" s="43"/>
      <c r="HO155" s="43"/>
      <c r="HP155" s="43"/>
      <c r="HQ155" s="43"/>
      <c r="HR155" s="43"/>
      <c r="HS155" s="43"/>
      <c r="HT155" s="43"/>
      <c r="HU155" s="43"/>
      <c r="HV155" s="43"/>
      <c r="HW155" s="43"/>
      <c r="HX155" s="43"/>
      <c r="HY155" s="43"/>
      <c r="HZ155" s="43"/>
      <c r="IA155" s="43"/>
      <c r="IB155" s="43"/>
      <c r="IC155" s="43"/>
      <c r="ID155" s="43"/>
      <c r="IE155" s="43"/>
      <c r="IF155" s="43"/>
      <c r="IG155" s="43"/>
      <c r="IH155" s="43"/>
      <c r="II155" s="43"/>
      <c r="IJ155" s="43"/>
      <c r="IK155" s="43"/>
      <c r="IL155" s="43"/>
      <c r="IM155" s="43"/>
      <c r="IN155" s="43"/>
      <c r="IO155" s="43"/>
      <c r="IP155" s="43"/>
      <c r="IQ155" s="43"/>
      <c r="IR155" s="43"/>
      <c r="IS155" s="43"/>
      <c r="IT155" s="43"/>
    </row>
    <row r="156" spans="1:254" ht="13.7" customHeight="1">
      <c r="A156" s="43"/>
      <c r="B156" s="43"/>
      <c r="C156" s="161"/>
      <c r="D156" s="161"/>
      <c r="E156" s="164" t="s">
        <v>478</v>
      </c>
      <c r="F156" s="208" t="s">
        <v>479</v>
      </c>
      <c r="G156" s="209"/>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3"/>
      <c r="GM156" s="43"/>
      <c r="GN156" s="43"/>
      <c r="GO156" s="43"/>
      <c r="GP156" s="43"/>
      <c r="GQ156" s="43"/>
      <c r="GR156" s="43"/>
      <c r="GS156" s="43"/>
      <c r="GT156" s="43"/>
      <c r="GU156" s="43"/>
      <c r="GV156" s="43"/>
      <c r="GW156" s="43"/>
      <c r="GX156" s="43"/>
      <c r="GY156" s="43"/>
      <c r="GZ156" s="43"/>
      <c r="HA156" s="43"/>
      <c r="HB156" s="43"/>
      <c r="HC156" s="43"/>
      <c r="HD156" s="43"/>
      <c r="HE156" s="43"/>
      <c r="HF156" s="43"/>
      <c r="HG156" s="43"/>
      <c r="HH156" s="43"/>
      <c r="HI156" s="43"/>
      <c r="HJ156" s="43"/>
      <c r="HK156" s="43"/>
      <c r="HL156" s="43"/>
      <c r="HM156" s="43"/>
      <c r="HN156" s="43"/>
      <c r="HO156" s="43"/>
      <c r="HP156" s="43"/>
      <c r="HQ156" s="43"/>
      <c r="HR156" s="43"/>
      <c r="HS156" s="43"/>
      <c r="HT156" s="43"/>
      <c r="HU156" s="43"/>
      <c r="HV156" s="43"/>
      <c r="HW156" s="43"/>
      <c r="HX156" s="43"/>
      <c r="HY156" s="43"/>
      <c r="HZ156" s="43"/>
      <c r="IA156" s="43"/>
      <c r="IB156" s="43"/>
      <c r="IC156" s="43"/>
      <c r="ID156" s="43"/>
      <c r="IE156" s="43"/>
      <c r="IF156" s="43"/>
      <c r="IG156" s="43"/>
      <c r="IH156" s="43"/>
      <c r="II156" s="43"/>
      <c r="IJ156" s="43"/>
      <c r="IK156" s="43"/>
      <c r="IL156" s="43"/>
      <c r="IM156" s="43"/>
      <c r="IN156" s="43"/>
      <c r="IO156" s="43"/>
      <c r="IP156" s="43"/>
      <c r="IQ156" s="43"/>
      <c r="IR156" s="43"/>
      <c r="IS156" s="43"/>
      <c r="IT156" s="43"/>
    </row>
    <row r="157" spans="1:254" ht="13.7" customHeight="1">
      <c r="A157" s="43"/>
      <c r="B157" s="43"/>
      <c r="C157" s="161"/>
      <c r="D157" s="161"/>
      <c r="E157" s="164" t="s">
        <v>480</v>
      </c>
      <c r="F157" s="208" t="s">
        <v>481</v>
      </c>
      <c r="G157" s="209">
        <v>0</v>
      </c>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3"/>
      <c r="ET157" s="43"/>
      <c r="EU157" s="43"/>
      <c r="EV157" s="43"/>
      <c r="EW157" s="43"/>
      <c r="EX157" s="43"/>
      <c r="EY157" s="43"/>
      <c r="EZ157" s="43"/>
      <c r="FA157" s="43"/>
      <c r="FB157" s="43"/>
      <c r="FC157" s="43"/>
      <c r="FD157" s="43"/>
      <c r="FE157" s="43"/>
      <c r="FF157" s="43"/>
      <c r="FG157" s="43"/>
      <c r="FH157" s="43"/>
      <c r="FI157" s="43"/>
      <c r="FJ157" s="43"/>
      <c r="FK157" s="43"/>
      <c r="FL157" s="43"/>
      <c r="FM157" s="43"/>
      <c r="FN157" s="43"/>
      <c r="FO157" s="43"/>
      <c r="FP157" s="43"/>
      <c r="FQ157" s="43"/>
      <c r="FR157" s="43"/>
      <c r="FS157" s="43"/>
      <c r="FT157" s="43"/>
      <c r="FU157" s="43"/>
      <c r="FV157" s="43"/>
      <c r="FW157" s="43"/>
      <c r="FX157" s="43"/>
      <c r="FY157" s="43"/>
      <c r="FZ157" s="43"/>
      <c r="GA157" s="43"/>
      <c r="GB157" s="43"/>
      <c r="GC157" s="43"/>
      <c r="GD157" s="43"/>
      <c r="GE157" s="43"/>
      <c r="GF157" s="43"/>
      <c r="GG157" s="43"/>
      <c r="GH157" s="43"/>
      <c r="GI157" s="43"/>
      <c r="GJ157" s="43"/>
      <c r="GK157" s="43"/>
      <c r="GL157" s="43"/>
      <c r="GM157" s="43"/>
      <c r="GN157" s="43"/>
      <c r="GO157" s="43"/>
      <c r="GP157" s="43"/>
      <c r="GQ157" s="43"/>
      <c r="GR157" s="43"/>
      <c r="GS157" s="43"/>
      <c r="GT157" s="43"/>
      <c r="GU157" s="43"/>
      <c r="GV157" s="43"/>
      <c r="GW157" s="43"/>
      <c r="GX157" s="43"/>
      <c r="GY157" s="43"/>
      <c r="GZ157" s="43"/>
      <c r="HA157" s="43"/>
      <c r="HB157" s="43"/>
      <c r="HC157" s="43"/>
      <c r="HD157" s="43"/>
      <c r="HE157" s="43"/>
      <c r="HF157" s="43"/>
      <c r="HG157" s="43"/>
      <c r="HH157" s="43"/>
      <c r="HI157" s="43"/>
      <c r="HJ157" s="43"/>
      <c r="HK157" s="43"/>
      <c r="HL157" s="43"/>
      <c r="HM157" s="43"/>
      <c r="HN157" s="43"/>
      <c r="HO157" s="43"/>
      <c r="HP157" s="43"/>
      <c r="HQ157" s="43"/>
      <c r="HR157" s="43"/>
      <c r="HS157" s="43"/>
      <c r="HT157" s="43"/>
      <c r="HU157" s="43"/>
      <c r="HV157" s="43"/>
      <c r="HW157" s="43"/>
      <c r="HX157" s="43"/>
      <c r="HY157" s="43"/>
      <c r="HZ157" s="43"/>
      <c r="IA157" s="43"/>
      <c r="IB157" s="43"/>
      <c r="IC157" s="43"/>
      <c r="ID157" s="43"/>
      <c r="IE157" s="43"/>
      <c r="IF157" s="43"/>
      <c r="IG157" s="43"/>
      <c r="IH157" s="43"/>
      <c r="II157" s="43"/>
      <c r="IJ157" s="43"/>
      <c r="IK157" s="43"/>
      <c r="IL157" s="43"/>
      <c r="IM157" s="43"/>
      <c r="IN157" s="43"/>
      <c r="IO157" s="43"/>
      <c r="IP157" s="43"/>
      <c r="IQ157" s="43"/>
      <c r="IR157" s="43"/>
      <c r="IS157" s="43"/>
      <c r="IT157" s="43"/>
    </row>
    <row r="158" spans="1:254" ht="13.7" customHeight="1">
      <c r="A158" s="43"/>
      <c r="B158" s="43"/>
      <c r="C158" s="161"/>
      <c r="D158" s="161"/>
      <c r="E158" s="164" t="s">
        <v>482</v>
      </c>
      <c r="F158" s="208" t="s">
        <v>483</v>
      </c>
      <c r="G158" s="209">
        <v>0</v>
      </c>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43"/>
      <c r="DR158" s="43"/>
      <c r="DS158" s="43"/>
      <c r="DT158" s="43"/>
      <c r="DU158" s="43"/>
      <c r="DV158" s="43"/>
      <c r="DW158" s="43"/>
      <c r="DX158" s="43"/>
      <c r="DY158" s="43"/>
      <c r="DZ158" s="43"/>
      <c r="EA158" s="43"/>
      <c r="EB158" s="43"/>
      <c r="EC158" s="43"/>
      <c r="ED158" s="43"/>
      <c r="EE158" s="43"/>
      <c r="EF158" s="43"/>
      <c r="EG158" s="43"/>
      <c r="EH158" s="43"/>
      <c r="EI158" s="43"/>
      <c r="EJ158" s="43"/>
      <c r="EK158" s="43"/>
      <c r="EL158" s="43"/>
      <c r="EM158" s="43"/>
      <c r="EN158" s="43"/>
      <c r="EO158" s="43"/>
      <c r="EP158" s="43"/>
      <c r="EQ158" s="43"/>
      <c r="ER158" s="43"/>
      <c r="ES158" s="43"/>
      <c r="ET158" s="43"/>
      <c r="EU158" s="43"/>
      <c r="EV158" s="43"/>
      <c r="EW158" s="43"/>
      <c r="EX158" s="43"/>
      <c r="EY158" s="43"/>
      <c r="EZ158" s="43"/>
      <c r="FA158" s="43"/>
      <c r="FB158" s="43"/>
      <c r="FC158" s="43"/>
      <c r="FD158" s="43"/>
      <c r="FE158" s="43"/>
      <c r="FF158" s="43"/>
      <c r="FG158" s="43"/>
      <c r="FH158" s="43"/>
      <c r="FI158" s="43"/>
      <c r="FJ158" s="43"/>
      <c r="FK158" s="43"/>
      <c r="FL158" s="43"/>
      <c r="FM158" s="43"/>
      <c r="FN158" s="43"/>
      <c r="FO158" s="43"/>
      <c r="FP158" s="43"/>
      <c r="FQ158" s="43"/>
      <c r="FR158" s="43"/>
      <c r="FS158" s="43"/>
      <c r="FT158" s="43"/>
      <c r="FU158" s="43"/>
      <c r="FV158" s="43"/>
      <c r="FW158" s="43"/>
      <c r="FX158" s="43"/>
      <c r="FY158" s="43"/>
      <c r="FZ158" s="43"/>
      <c r="GA158" s="43"/>
      <c r="GB158" s="43"/>
      <c r="GC158" s="43"/>
      <c r="GD158" s="43"/>
      <c r="GE158" s="43"/>
      <c r="GF158" s="43"/>
      <c r="GG158" s="43"/>
      <c r="GH158" s="43"/>
      <c r="GI158" s="43"/>
      <c r="GJ158" s="43"/>
      <c r="GK158" s="43"/>
      <c r="GL158" s="43"/>
      <c r="GM158" s="43"/>
      <c r="GN158" s="43"/>
      <c r="GO158" s="43"/>
      <c r="GP158" s="43"/>
      <c r="GQ158" s="43"/>
      <c r="GR158" s="43"/>
      <c r="GS158" s="43"/>
      <c r="GT158" s="43"/>
      <c r="GU158" s="43"/>
      <c r="GV158" s="43"/>
      <c r="GW158" s="43"/>
      <c r="GX158" s="43"/>
      <c r="GY158" s="43"/>
      <c r="GZ158" s="43"/>
      <c r="HA158" s="43"/>
      <c r="HB158" s="43"/>
      <c r="HC158" s="43"/>
      <c r="HD158" s="43"/>
      <c r="HE158" s="43"/>
      <c r="HF158" s="43"/>
      <c r="HG158" s="43"/>
      <c r="HH158" s="43"/>
      <c r="HI158" s="43"/>
      <c r="HJ158" s="43"/>
      <c r="HK158" s="43"/>
      <c r="HL158" s="43"/>
      <c r="HM158" s="43"/>
      <c r="HN158" s="43"/>
      <c r="HO158" s="43"/>
      <c r="HP158" s="43"/>
      <c r="HQ158" s="43"/>
      <c r="HR158" s="43"/>
      <c r="HS158" s="43"/>
      <c r="HT158" s="43"/>
      <c r="HU158" s="43"/>
      <c r="HV158" s="43"/>
      <c r="HW158" s="43"/>
      <c r="HX158" s="43"/>
      <c r="HY158" s="43"/>
      <c r="HZ158" s="43"/>
      <c r="IA158" s="43"/>
      <c r="IB158" s="43"/>
      <c r="IC158" s="43"/>
      <c r="ID158" s="43"/>
      <c r="IE158" s="43"/>
      <c r="IF158" s="43"/>
      <c r="IG158" s="43"/>
      <c r="IH158" s="43"/>
      <c r="II158" s="43"/>
      <c r="IJ158" s="43"/>
      <c r="IK158" s="43"/>
      <c r="IL158" s="43"/>
      <c r="IM158" s="43"/>
      <c r="IN158" s="43"/>
      <c r="IO158" s="43"/>
      <c r="IP158" s="43"/>
      <c r="IQ158" s="43"/>
      <c r="IR158" s="43"/>
      <c r="IS158" s="43"/>
      <c r="IT158" s="43"/>
    </row>
    <row r="159" spans="1:254" ht="13.7" customHeight="1">
      <c r="A159" s="43"/>
      <c r="B159" s="43"/>
      <c r="C159" s="161"/>
      <c r="D159" s="161"/>
      <c r="E159" s="164" t="s">
        <v>484</v>
      </c>
      <c r="F159" s="208" t="s">
        <v>485</v>
      </c>
      <c r="G159" s="209">
        <v>0</v>
      </c>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3"/>
      <c r="ET159" s="43"/>
      <c r="EU159" s="43"/>
      <c r="EV159" s="43"/>
      <c r="EW159" s="43"/>
      <c r="EX159" s="43"/>
      <c r="EY159" s="43"/>
      <c r="EZ159" s="43"/>
      <c r="FA159" s="43"/>
      <c r="FB159" s="43"/>
      <c r="FC159" s="43"/>
      <c r="FD159" s="43"/>
      <c r="FE159" s="43"/>
      <c r="FF159" s="43"/>
      <c r="FG159" s="43"/>
      <c r="FH159" s="43"/>
      <c r="FI159" s="43"/>
      <c r="FJ159" s="43"/>
      <c r="FK159" s="43"/>
      <c r="FL159" s="43"/>
      <c r="FM159" s="43"/>
      <c r="FN159" s="43"/>
      <c r="FO159" s="43"/>
      <c r="FP159" s="43"/>
      <c r="FQ159" s="43"/>
      <c r="FR159" s="43"/>
      <c r="FS159" s="43"/>
      <c r="FT159" s="43"/>
      <c r="FU159" s="43"/>
      <c r="FV159" s="43"/>
      <c r="FW159" s="43"/>
      <c r="FX159" s="43"/>
      <c r="FY159" s="43"/>
      <c r="FZ159" s="43"/>
      <c r="GA159" s="43"/>
      <c r="GB159" s="43"/>
      <c r="GC159" s="43"/>
      <c r="GD159" s="43"/>
      <c r="GE159" s="43"/>
      <c r="GF159" s="43"/>
      <c r="GG159" s="43"/>
      <c r="GH159" s="43"/>
      <c r="GI159" s="43"/>
      <c r="GJ159" s="43"/>
      <c r="GK159" s="43"/>
      <c r="GL159" s="43"/>
      <c r="GM159" s="43"/>
      <c r="GN159" s="43"/>
      <c r="GO159" s="43"/>
      <c r="GP159" s="43"/>
      <c r="GQ159" s="43"/>
      <c r="GR159" s="43"/>
      <c r="GS159" s="43"/>
      <c r="GT159" s="43"/>
      <c r="GU159" s="43"/>
      <c r="GV159" s="43"/>
      <c r="GW159" s="43"/>
      <c r="GX159" s="43"/>
      <c r="GY159" s="43"/>
      <c r="GZ159" s="43"/>
      <c r="HA159" s="43"/>
      <c r="HB159" s="43"/>
      <c r="HC159" s="43"/>
      <c r="HD159" s="43"/>
      <c r="HE159" s="43"/>
      <c r="HF159" s="43"/>
      <c r="HG159" s="43"/>
      <c r="HH159" s="43"/>
      <c r="HI159" s="43"/>
      <c r="HJ159" s="43"/>
      <c r="HK159" s="43"/>
      <c r="HL159" s="43"/>
      <c r="HM159" s="43"/>
      <c r="HN159" s="43"/>
      <c r="HO159" s="43"/>
      <c r="HP159" s="43"/>
      <c r="HQ159" s="43"/>
      <c r="HR159" s="43"/>
      <c r="HS159" s="43"/>
      <c r="HT159" s="43"/>
      <c r="HU159" s="43"/>
      <c r="HV159" s="43"/>
      <c r="HW159" s="43"/>
      <c r="HX159" s="43"/>
      <c r="HY159" s="43"/>
      <c r="HZ159" s="43"/>
      <c r="IA159" s="43"/>
      <c r="IB159" s="43"/>
      <c r="IC159" s="43"/>
      <c r="ID159" s="43"/>
      <c r="IE159" s="43"/>
      <c r="IF159" s="43"/>
      <c r="IG159" s="43"/>
      <c r="IH159" s="43"/>
      <c r="II159" s="43"/>
      <c r="IJ159" s="43"/>
      <c r="IK159" s="43"/>
      <c r="IL159" s="43"/>
      <c r="IM159" s="43"/>
      <c r="IN159" s="43"/>
      <c r="IO159" s="43"/>
      <c r="IP159" s="43"/>
      <c r="IQ159" s="43"/>
      <c r="IR159" s="43"/>
      <c r="IS159" s="43"/>
      <c r="IT159" s="43"/>
    </row>
    <row r="160" spans="1:254" ht="13.7" customHeight="1">
      <c r="A160" s="43"/>
      <c r="B160" s="43"/>
      <c r="C160" s="161"/>
      <c r="D160" s="161"/>
      <c r="E160" s="164" t="s">
        <v>486</v>
      </c>
      <c r="F160" s="208" t="s">
        <v>487</v>
      </c>
      <c r="G160" s="209">
        <v>7025770.6200000001</v>
      </c>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43"/>
      <c r="FH160" s="43"/>
      <c r="FI160" s="43"/>
      <c r="FJ160" s="43"/>
      <c r="FK160" s="43"/>
      <c r="FL160" s="43"/>
      <c r="FM160" s="43"/>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3"/>
      <c r="GS160" s="43"/>
      <c r="GT160" s="43"/>
      <c r="GU160" s="43"/>
      <c r="GV160" s="43"/>
      <c r="GW160" s="43"/>
      <c r="GX160" s="43"/>
      <c r="GY160" s="43"/>
      <c r="GZ160" s="43"/>
      <c r="HA160" s="43"/>
      <c r="HB160" s="43"/>
      <c r="HC160" s="43"/>
      <c r="HD160" s="43"/>
      <c r="HE160" s="43"/>
      <c r="HF160" s="43"/>
      <c r="HG160" s="43"/>
      <c r="HH160" s="43"/>
      <c r="HI160" s="43"/>
      <c r="HJ160" s="43"/>
      <c r="HK160" s="43"/>
      <c r="HL160" s="43"/>
      <c r="HM160" s="43"/>
      <c r="HN160" s="43"/>
      <c r="HO160" s="43"/>
      <c r="HP160" s="43"/>
      <c r="HQ160" s="43"/>
      <c r="HR160" s="43"/>
      <c r="HS160" s="43"/>
      <c r="HT160" s="43"/>
      <c r="HU160" s="43"/>
      <c r="HV160" s="43"/>
      <c r="HW160" s="43"/>
      <c r="HX160" s="43"/>
      <c r="HY160" s="43"/>
      <c r="HZ160" s="43"/>
      <c r="IA160" s="43"/>
      <c r="IB160" s="43"/>
      <c r="IC160" s="43"/>
      <c r="ID160" s="43"/>
      <c r="IE160" s="43"/>
      <c r="IF160" s="43"/>
      <c r="IG160" s="43"/>
      <c r="IH160" s="43"/>
      <c r="II160" s="43"/>
      <c r="IJ160" s="43"/>
      <c r="IK160" s="43"/>
      <c r="IL160" s="43"/>
      <c r="IM160" s="43"/>
      <c r="IN160" s="43"/>
      <c r="IO160" s="43"/>
      <c r="IP160" s="43"/>
      <c r="IQ160" s="43"/>
      <c r="IR160" s="43"/>
      <c r="IS160" s="43"/>
      <c r="IT160" s="43"/>
    </row>
    <row r="161" spans="1:254" ht="13.7" customHeight="1">
      <c r="A161" s="43"/>
      <c r="B161" s="43"/>
      <c r="C161" s="161"/>
      <c r="D161" s="161"/>
      <c r="E161" s="164" t="s">
        <v>488</v>
      </c>
      <c r="F161" s="208" t="s">
        <v>489</v>
      </c>
      <c r="G161" s="209"/>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c r="IQ161" s="43"/>
      <c r="IR161" s="43"/>
      <c r="IS161" s="43"/>
      <c r="IT161" s="43"/>
    </row>
    <row r="162" spans="1:254" ht="13.7" customHeight="1">
      <c r="A162" s="43"/>
      <c r="B162" s="43"/>
      <c r="C162" s="161"/>
      <c r="D162" s="161"/>
      <c r="E162" s="164" t="s">
        <v>490</v>
      </c>
      <c r="F162" s="208" t="s">
        <v>491</v>
      </c>
      <c r="G162" s="209">
        <v>0</v>
      </c>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c r="DB162" s="43"/>
      <c r="DC162" s="43"/>
      <c r="DD162" s="43"/>
      <c r="DE162" s="43"/>
      <c r="DF162" s="43"/>
      <c r="DG162" s="43"/>
      <c r="DH162" s="43"/>
      <c r="DI162" s="43"/>
      <c r="DJ162" s="43"/>
      <c r="DK162" s="43"/>
      <c r="DL162" s="43"/>
      <c r="DM162" s="43"/>
      <c r="DN162" s="43"/>
      <c r="DO162" s="43"/>
      <c r="DP162" s="43"/>
      <c r="DQ162" s="43"/>
      <c r="DR162" s="43"/>
      <c r="DS162" s="43"/>
      <c r="DT162" s="43"/>
      <c r="DU162" s="43"/>
      <c r="DV162" s="43"/>
      <c r="DW162" s="43"/>
      <c r="DX162" s="43"/>
      <c r="DY162" s="43"/>
      <c r="DZ162" s="43"/>
      <c r="EA162" s="43"/>
      <c r="EB162" s="43"/>
      <c r="EC162" s="43"/>
      <c r="ED162" s="43"/>
      <c r="EE162" s="43"/>
      <c r="EF162" s="43"/>
      <c r="EG162" s="43"/>
      <c r="EH162" s="43"/>
      <c r="EI162" s="43"/>
      <c r="EJ162" s="43"/>
      <c r="EK162" s="43"/>
      <c r="EL162" s="43"/>
      <c r="EM162" s="43"/>
      <c r="EN162" s="43"/>
      <c r="EO162" s="43"/>
      <c r="EP162" s="43"/>
      <c r="EQ162" s="43"/>
      <c r="ER162" s="43"/>
      <c r="ES162" s="43"/>
      <c r="ET162" s="43"/>
      <c r="EU162" s="43"/>
      <c r="EV162" s="43"/>
      <c r="EW162" s="43"/>
      <c r="EX162" s="43"/>
      <c r="EY162" s="43"/>
      <c r="EZ162" s="43"/>
      <c r="FA162" s="43"/>
      <c r="FB162" s="43"/>
      <c r="FC162" s="43"/>
      <c r="FD162" s="43"/>
      <c r="FE162" s="43"/>
      <c r="FF162" s="43"/>
      <c r="FG162" s="43"/>
      <c r="FH162" s="43"/>
      <c r="FI162" s="43"/>
      <c r="FJ162" s="43"/>
      <c r="FK162" s="43"/>
      <c r="FL162" s="43"/>
      <c r="FM162" s="43"/>
      <c r="FN162" s="43"/>
      <c r="FO162" s="43"/>
      <c r="FP162" s="43"/>
      <c r="FQ162" s="43"/>
      <c r="FR162" s="43"/>
      <c r="FS162" s="43"/>
      <c r="FT162" s="43"/>
      <c r="FU162" s="43"/>
      <c r="FV162" s="43"/>
      <c r="FW162" s="43"/>
      <c r="FX162" s="43"/>
      <c r="FY162" s="43"/>
      <c r="FZ162" s="43"/>
      <c r="GA162" s="43"/>
      <c r="GB162" s="43"/>
      <c r="GC162" s="43"/>
      <c r="GD162" s="43"/>
      <c r="GE162" s="43"/>
      <c r="GF162" s="43"/>
      <c r="GG162" s="43"/>
      <c r="GH162" s="43"/>
      <c r="GI162" s="43"/>
      <c r="GJ162" s="43"/>
      <c r="GK162" s="43"/>
      <c r="GL162" s="43"/>
      <c r="GM162" s="43"/>
      <c r="GN162" s="43"/>
      <c r="GO162" s="43"/>
      <c r="GP162" s="43"/>
      <c r="GQ162" s="43"/>
      <c r="GR162" s="43"/>
      <c r="GS162" s="43"/>
      <c r="GT162" s="43"/>
      <c r="GU162" s="43"/>
      <c r="GV162" s="43"/>
      <c r="GW162" s="43"/>
      <c r="GX162" s="43"/>
      <c r="GY162" s="43"/>
      <c r="GZ162" s="43"/>
      <c r="HA162" s="43"/>
      <c r="HB162" s="43"/>
      <c r="HC162" s="43"/>
      <c r="HD162" s="43"/>
      <c r="HE162" s="43"/>
      <c r="HF162" s="43"/>
      <c r="HG162" s="43"/>
      <c r="HH162" s="43"/>
      <c r="HI162" s="43"/>
      <c r="HJ162" s="43"/>
      <c r="HK162" s="43"/>
      <c r="HL162" s="43"/>
      <c r="HM162" s="43"/>
      <c r="HN162" s="43"/>
      <c r="HO162" s="43"/>
      <c r="HP162" s="43"/>
      <c r="HQ162" s="43"/>
      <c r="HR162" s="43"/>
      <c r="HS162" s="43"/>
      <c r="HT162" s="43"/>
      <c r="HU162" s="43"/>
      <c r="HV162" s="43"/>
      <c r="HW162" s="43"/>
      <c r="HX162" s="43"/>
      <c r="HY162" s="43"/>
      <c r="HZ162" s="43"/>
      <c r="IA162" s="43"/>
      <c r="IB162" s="43"/>
      <c r="IC162" s="43"/>
      <c r="ID162" s="43"/>
      <c r="IE162" s="43"/>
      <c r="IF162" s="43"/>
      <c r="IG162" s="43"/>
      <c r="IH162" s="43"/>
      <c r="II162" s="43"/>
      <c r="IJ162" s="43"/>
      <c r="IK162" s="43"/>
      <c r="IL162" s="43"/>
      <c r="IM162" s="43"/>
      <c r="IN162" s="43"/>
      <c r="IO162" s="43"/>
      <c r="IP162" s="43"/>
      <c r="IQ162" s="43"/>
      <c r="IR162" s="43"/>
      <c r="IS162" s="43"/>
      <c r="IT162" s="43"/>
    </row>
    <row r="163" spans="1:254" ht="13.7" customHeight="1">
      <c r="A163" s="43"/>
      <c r="B163" s="43"/>
      <c r="C163" s="161"/>
      <c r="D163" s="161"/>
      <c r="E163" s="164" t="s">
        <v>492</v>
      </c>
      <c r="F163" s="208" t="s">
        <v>493</v>
      </c>
      <c r="G163" s="209">
        <v>0</v>
      </c>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c r="EU163" s="43"/>
      <c r="EV163" s="43"/>
      <c r="EW163" s="43"/>
      <c r="EX163" s="43"/>
      <c r="EY163" s="43"/>
      <c r="EZ163" s="43"/>
      <c r="FA163" s="43"/>
      <c r="FB163" s="43"/>
      <c r="FC163" s="43"/>
      <c r="FD163" s="43"/>
      <c r="FE163" s="43"/>
      <c r="FF163" s="43"/>
      <c r="FG163" s="43"/>
      <c r="FH163" s="43"/>
      <c r="FI163" s="43"/>
      <c r="FJ163" s="43"/>
      <c r="FK163" s="43"/>
      <c r="FL163" s="43"/>
      <c r="FM163" s="43"/>
      <c r="FN163" s="43"/>
      <c r="FO163" s="43"/>
      <c r="FP163" s="43"/>
      <c r="FQ163" s="43"/>
      <c r="FR163" s="43"/>
      <c r="FS163" s="43"/>
      <c r="FT163" s="43"/>
      <c r="FU163" s="43"/>
      <c r="FV163" s="43"/>
      <c r="FW163" s="43"/>
      <c r="FX163" s="43"/>
      <c r="FY163" s="43"/>
      <c r="FZ163" s="43"/>
      <c r="GA163" s="43"/>
      <c r="GB163" s="43"/>
      <c r="GC163" s="43"/>
      <c r="GD163" s="43"/>
      <c r="GE163" s="43"/>
      <c r="GF163" s="43"/>
      <c r="GG163" s="43"/>
      <c r="GH163" s="43"/>
      <c r="GI163" s="43"/>
      <c r="GJ163" s="43"/>
      <c r="GK163" s="43"/>
      <c r="GL163" s="43"/>
      <c r="GM163" s="43"/>
      <c r="GN163" s="43"/>
      <c r="GO163" s="43"/>
      <c r="GP163" s="43"/>
      <c r="GQ163" s="43"/>
      <c r="GR163" s="43"/>
      <c r="GS163" s="43"/>
      <c r="GT163" s="43"/>
      <c r="GU163" s="43"/>
      <c r="GV163" s="43"/>
      <c r="GW163" s="43"/>
      <c r="GX163" s="43"/>
      <c r="GY163" s="43"/>
      <c r="GZ163" s="43"/>
      <c r="HA163" s="43"/>
      <c r="HB163" s="43"/>
      <c r="HC163" s="43"/>
      <c r="HD163" s="43"/>
      <c r="HE163" s="43"/>
      <c r="HF163" s="43"/>
      <c r="HG163" s="43"/>
      <c r="HH163" s="43"/>
      <c r="HI163" s="43"/>
      <c r="HJ163" s="43"/>
      <c r="HK163" s="43"/>
      <c r="HL163" s="43"/>
      <c r="HM163" s="43"/>
      <c r="HN163" s="43"/>
      <c r="HO163" s="43"/>
      <c r="HP163" s="43"/>
      <c r="HQ163" s="43"/>
      <c r="HR163" s="43"/>
      <c r="HS163" s="43"/>
      <c r="HT163" s="43"/>
      <c r="HU163" s="43"/>
      <c r="HV163" s="43"/>
      <c r="HW163" s="43"/>
      <c r="HX163" s="43"/>
      <c r="HY163" s="43"/>
      <c r="HZ163" s="43"/>
      <c r="IA163" s="43"/>
      <c r="IB163" s="43"/>
      <c r="IC163" s="43"/>
      <c r="ID163" s="43"/>
      <c r="IE163" s="43"/>
      <c r="IF163" s="43"/>
      <c r="IG163" s="43"/>
      <c r="IH163" s="43"/>
      <c r="II163" s="43"/>
      <c r="IJ163" s="43"/>
      <c r="IK163" s="43"/>
      <c r="IL163" s="43"/>
      <c r="IM163" s="43"/>
      <c r="IN163" s="43"/>
      <c r="IO163" s="43"/>
      <c r="IP163" s="43"/>
      <c r="IQ163" s="43"/>
      <c r="IR163" s="43"/>
      <c r="IS163" s="43"/>
      <c r="IT163" s="43"/>
    </row>
    <row r="164" spans="1:254" ht="13.7" customHeight="1">
      <c r="A164" s="43"/>
      <c r="B164" s="43"/>
      <c r="C164" s="161"/>
      <c r="D164" s="161"/>
      <c r="E164" s="164" t="s">
        <v>494</v>
      </c>
      <c r="F164" s="208" t="s">
        <v>495</v>
      </c>
      <c r="G164" s="209">
        <v>0</v>
      </c>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c r="FF164" s="43"/>
      <c r="FG164" s="43"/>
      <c r="FH164" s="43"/>
      <c r="FI164" s="43"/>
      <c r="FJ164" s="43"/>
      <c r="FK164" s="43"/>
      <c r="FL164" s="43"/>
      <c r="FM164" s="43"/>
      <c r="FN164" s="43"/>
      <c r="FO164" s="43"/>
      <c r="FP164" s="43"/>
      <c r="FQ164" s="43"/>
      <c r="FR164" s="43"/>
      <c r="FS164" s="43"/>
      <c r="FT164" s="43"/>
      <c r="FU164" s="43"/>
      <c r="FV164" s="43"/>
      <c r="FW164" s="43"/>
      <c r="FX164" s="43"/>
      <c r="FY164" s="43"/>
      <c r="FZ164" s="43"/>
      <c r="GA164" s="43"/>
      <c r="GB164" s="43"/>
      <c r="GC164" s="43"/>
      <c r="GD164" s="43"/>
      <c r="GE164" s="43"/>
      <c r="GF164" s="43"/>
      <c r="GG164" s="43"/>
      <c r="GH164" s="43"/>
      <c r="GI164" s="43"/>
      <c r="GJ164" s="43"/>
      <c r="GK164" s="43"/>
      <c r="GL164" s="43"/>
      <c r="GM164" s="43"/>
      <c r="GN164" s="43"/>
      <c r="GO164" s="43"/>
      <c r="GP164" s="43"/>
      <c r="GQ164" s="43"/>
      <c r="GR164" s="43"/>
      <c r="GS164" s="43"/>
      <c r="GT164" s="43"/>
      <c r="GU164" s="43"/>
      <c r="GV164" s="43"/>
      <c r="GW164" s="43"/>
      <c r="GX164" s="43"/>
      <c r="GY164" s="43"/>
      <c r="GZ164" s="43"/>
      <c r="HA164" s="43"/>
      <c r="HB164" s="43"/>
      <c r="HC164" s="43"/>
      <c r="HD164" s="43"/>
      <c r="HE164" s="43"/>
      <c r="HF164" s="43"/>
      <c r="HG164" s="43"/>
      <c r="HH164" s="43"/>
      <c r="HI164" s="43"/>
      <c r="HJ164" s="43"/>
      <c r="HK164" s="43"/>
      <c r="HL164" s="43"/>
      <c r="HM164" s="43"/>
      <c r="HN164" s="43"/>
      <c r="HO164" s="43"/>
      <c r="HP164" s="43"/>
      <c r="HQ164" s="43"/>
      <c r="HR164" s="43"/>
      <c r="HS164" s="43"/>
      <c r="HT164" s="43"/>
      <c r="HU164" s="43"/>
      <c r="HV164" s="43"/>
      <c r="HW164" s="43"/>
      <c r="HX164" s="43"/>
      <c r="HY164" s="43"/>
      <c r="HZ164" s="43"/>
      <c r="IA164" s="43"/>
      <c r="IB164" s="43"/>
      <c r="IC164" s="43"/>
      <c r="ID164" s="43"/>
      <c r="IE164" s="43"/>
      <c r="IF164" s="43"/>
      <c r="IG164" s="43"/>
      <c r="IH164" s="43"/>
      <c r="II164" s="43"/>
      <c r="IJ164" s="43"/>
      <c r="IK164" s="43"/>
      <c r="IL164" s="43"/>
      <c r="IM164" s="43"/>
      <c r="IN164" s="43"/>
      <c r="IO164" s="43"/>
      <c r="IP164" s="43"/>
      <c r="IQ164" s="43"/>
      <c r="IR164" s="43"/>
      <c r="IS164" s="43"/>
      <c r="IT164" s="43"/>
    </row>
    <row r="165" spans="1:254" ht="13.7" customHeight="1">
      <c r="A165" s="43"/>
      <c r="B165" s="43"/>
      <c r="C165" s="161"/>
      <c r="D165" s="161"/>
      <c r="E165" s="164" t="s">
        <v>496</v>
      </c>
      <c r="F165" s="208" t="s">
        <v>497</v>
      </c>
      <c r="G165" s="209">
        <v>0</v>
      </c>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c r="FF165" s="43"/>
      <c r="FG165" s="43"/>
      <c r="FH165" s="43"/>
      <c r="FI165" s="43"/>
      <c r="FJ165" s="43"/>
      <c r="FK165" s="43"/>
      <c r="FL165" s="43"/>
      <c r="FM165" s="43"/>
      <c r="FN165" s="43"/>
      <c r="FO165" s="43"/>
      <c r="FP165" s="43"/>
      <c r="FQ165" s="43"/>
      <c r="FR165" s="43"/>
      <c r="FS165" s="43"/>
      <c r="FT165" s="43"/>
      <c r="FU165" s="43"/>
      <c r="FV165" s="43"/>
      <c r="FW165" s="43"/>
      <c r="FX165" s="43"/>
      <c r="FY165" s="43"/>
      <c r="FZ165" s="43"/>
      <c r="GA165" s="43"/>
      <c r="GB165" s="43"/>
      <c r="GC165" s="43"/>
      <c r="GD165" s="43"/>
      <c r="GE165" s="43"/>
      <c r="GF165" s="43"/>
      <c r="GG165" s="43"/>
      <c r="GH165" s="43"/>
      <c r="GI165" s="43"/>
      <c r="GJ165" s="43"/>
      <c r="GK165" s="43"/>
      <c r="GL165" s="43"/>
      <c r="GM165" s="43"/>
      <c r="GN165" s="43"/>
      <c r="GO165" s="43"/>
      <c r="GP165" s="43"/>
      <c r="GQ165" s="43"/>
      <c r="GR165" s="43"/>
      <c r="GS165" s="43"/>
      <c r="GT165" s="43"/>
      <c r="GU165" s="43"/>
      <c r="GV165" s="43"/>
      <c r="GW165" s="43"/>
      <c r="GX165" s="43"/>
      <c r="GY165" s="43"/>
      <c r="GZ165" s="43"/>
      <c r="HA165" s="43"/>
      <c r="HB165" s="43"/>
      <c r="HC165" s="43"/>
      <c r="HD165" s="43"/>
      <c r="HE165" s="43"/>
      <c r="HF165" s="43"/>
      <c r="HG165" s="43"/>
      <c r="HH165" s="43"/>
      <c r="HI165" s="43"/>
      <c r="HJ165" s="43"/>
      <c r="HK165" s="43"/>
      <c r="HL165" s="43"/>
      <c r="HM165" s="43"/>
      <c r="HN165" s="43"/>
      <c r="HO165" s="43"/>
      <c r="HP165" s="43"/>
      <c r="HQ165" s="43"/>
      <c r="HR165" s="43"/>
      <c r="HS165" s="43"/>
      <c r="HT165" s="43"/>
      <c r="HU165" s="43"/>
      <c r="HV165" s="43"/>
      <c r="HW165" s="43"/>
      <c r="HX165" s="43"/>
      <c r="HY165" s="43"/>
      <c r="HZ165" s="43"/>
      <c r="IA165" s="43"/>
      <c r="IB165" s="43"/>
      <c r="IC165" s="43"/>
      <c r="ID165" s="43"/>
      <c r="IE165" s="43"/>
      <c r="IF165" s="43"/>
      <c r="IG165" s="43"/>
      <c r="IH165" s="43"/>
      <c r="II165" s="43"/>
      <c r="IJ165" s="43"/>
      <c r="IK165" s="43"/>
      <c r="IL165" s="43"/>
      <c r="IM165" s="43"/>
      <c r="IN165" s="43"/>
      <c r="IO165" s="43"/>
      <c r="IP165" s="43"/>
      <c r="IQ165" s="43"/>
      <c r="IR165" s="43"/>
      <c r="IS165" s="43"/>
      <c r="IT165" s="43"/>
    </row>
    <row r="166" spans="1:254" ht="13.7" customHeight="1">
      <c r="A166" s="43"/>
      <c r="B166" s="43"/>
      <c r="C166" s="161"/>
      <c r="D166" s="161"/>
      <c r="E166" s="164" t="s">
        <v>498</v>
      </c>
      <c r="F166" s="208" t="s">
        <v>499</v>
      </c>
      <c r="G166" s="209">
        <f>1455447+553164-572640</f>
        <v>1435971</v>
      </c>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c r="HG166" s="43"/>
      <c r="HH166" s="43"/>
      <c r="HI166" s="43"/>
      <c r="HJ166" s="43"/>
      <c r="HK166" s="43"/>
      <c r="HL166" s="43"/>
      <c r="HM166" s="43"/>
      <c r="HN166" s="43"/>
      <c r="HO166" s="43"/>
      <c r="HP166" s="43"/>
      <c r="HQ166" s="43"/>
      <c r="HR166" s="43"/>
      <c r="HS166" s="43"/>
      <c r="HT166" s="43"/>
      <c r="HU166" s="43"/>
      <c r="HV166" s="43"/>
      <c r="HW166" s="43"/>
      <c r="HX166" s="43"/>
      <c r="HY166" s="43"/>
      <c r="HZ166" s="43"/>
      <c r="IA166" s="43"/>
      <c r="IB166" s="43"/>
      <c r="IC166" s="43"/>
      <c r="ID166" s="43"/>
      <c r="IE166" s="43"/>
      <c r="IF166" s="43"/>
      <c r="IG166" s="43"/>
      <c r="IH166" s="43"/>
      <c r="II166" s="43"/>
      <c r="IJ166" s="43"/>
      <c r="IK166" s="43"/>
      <c r="IL166" s="43"/>
      <c r="IM166" s="43"/>
      <c r="IN166" s="43"/>
      <c r="IO166" s="43"/>
      <c r="IP166" s="43"/>
      <c r="IQ166" s="43"/>
      <c r="IR166" s="43"/>
      <c r="IS166" s="43"/>
      <c r="IT166" s="43"/>
    </row>
    <row r="167" spans="1:254" ht="13.7" customHeight="1">
      <c r="A167" s="43"/>
      <c r="B167" s="43"/>
      <c r="C167" s="161"/>
      <c r="D167" s="161"/>
      <c r="E167" s="164" t="s">
        <v>500</v>
      </c>
      <c r="F167" s="162" t="s">
        <v>501</v>
      </c>
      <c r="G167" s="168">
        <v>1438956</v>
      </c>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3"/>
      <c r="GS167" s="43"/>
      <c r="GT167" s="43"/>
      <c r="GU167" s="43"/>
      <c r="GV167" s="43"/>
      <c r="GW167" s="43"/>
      <c r="GX167" s="43"/>
      <c r="GY167" s="43"/>
      <c r="GZ167" s="43"/>
      <c r="HA167" s="43"/>
      <c r="HB167" s="43"/>
      <c r="HC167" s="43"/>
      <c r="HD167" s="43"/>
      <c r="HE167" s="43"/>
      <c r="HF167" s="43"/>
      <c r="HG167" s="43"/>
      <c r="HH167" s="43"/>
      <c r="HI167" s="43"/>
      <c r="HJ167" s="43"/>
      <c r="HK167" s="43"/>
      <c r="HL167" s="43"/>
      <c r="HM167" s="43"/>
      <c r="HN167" s="43"/>
      <c r="HO167" s="43"/>
      <c r="HP167" s="43"/>
      <c r="HQ167" s="43"/>
      <c r="HR167" s="43"/>
      <c r="HS167" s="43"/>
      <c r="HT167" s="43"/>
      <c r="HU167" s="43"/>
      <c r="HV167" s="43"/>
      <c r="HW167" s="43"/>
      <c r="HX167" s="43"/>
      <c r="HY167" s="43"/>
      <c r="HZ167" s="43"/>
      <c r="IA167" s="43"/>
      <c r="IB167" s="43"/>
      <c r="IC167" s="43"/>
      <c r="ID167" s="43"/>
      <c r="IE167" s="43"/>
      <c r="IF167" s="43"/>
      <c r="IG167" s="43"/>
      <c r="IH167" s="43"/>
      <c r="II167" s="43"/>
      <c r="IJ167" s="43"/>
      <c r="IK167" s="43"/>
      <c r="IL167" s="43"/>
      <c r="IM167" s="43"/>
      <c r="IN167" s="43"/>
      <c r="IO167" s="43"/>
      <c r="IP167" s="43"/>
      <c r="IQ167" s="43"/>
      <c r="IR167" s="43"/>
      <c r="IS167" s="43"/>
      <c r="IT167" s="43"/>
    </row>
    <row r="168" spans="1:254" ht="13.7" customHeight="1" thickBot="1">
      <c r="A168" s="43"/>
      <c r="B168" s="43"/>
      <c r="C168" s="161"/>
      <c r="D168" s="161"/>
      <c r="E168" s="161"/>
      <c r="F168" s="171" t="s">
        <v>502</v>
      </c>
      <c r="G168" s="180">
        <f>SUM(G155:G167)</f>
        <v>23931148.620000001</v>
      </c>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c r="FF168" s="43"/>
      <c r="FG168" s="43"/>
      <c r="FH168" s="43"/>
      <c r="FI168" s="43"/>
      <c r="FJ168" s="43"/>
      <c r="FK168" s="43"/>
      <c r="FL168" s="43"/>
      <c r="FM168" s="43"/>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3"/>
      <c r="GS168" s="43"/>
      <c r="GT168" s="43"/>
      <c r="GU168" s="43"/>
      <c r="GV168" s="43"/>
      <c r="GW168" s="43"/>
      <c r="GX168" s="43"/>
      <c r="GY168" s="43"/>
      <c r="GZ168" s="43"/>
      <c r="HA168" s="43"/>
      <c r="HB168" s="43"/>
      <c r="HC168" s="43"/>
      <c r="HD168" s="43"/>
      <c r="HE168" s="43"/>
      <c r="HF168" s="43"/>
      <c r="HG168" s="43"/>
      <c r="HH168" s="43"/>
      <c r="HI168" s="43"/>
      <c r="HJ168" s="43"/>
      <c r="HK168" s="43"/>
      <c r="HL168" s="43"/>
      <c r="HM168" s="43"/>
      <c r="HN168" s="43"/>
      <c r="HO168" s="43"/>
      <c r="HP168" s="43"/>
      <c r="HQ168" s="43"/>
      <c r="HR168" s="43"/>
      <c r="HS168" s="43"/>
      <c r="HT168" s="43"/>
      <c r="HU168" s="43"/>
      <c r="HV168" s="43"/>
      <c r="HW168" s="43"/>
      <c r="HX168" s="43"/>
      <c r="HY168" s="43"/>
      <c r="HZ168" s="43"/>
      <c r="IA168" s="43"/>
      <c r="IB168" s="43"/>
      <c r="IC168" s="43"/>
      <c r="ID168" s="43"/>
      <c r="IE168" s="43"/>
      <c r="IF168" s="43"/>
      <c r="IG168" s="43"/>
      <c r="IH168" s="43"/>
      <c r="II168" s="43"/>
      <c r="IJ168" s="43"/>
      <c r="IK168" s="43"/>
      <c r="IL168" s="43"/>
      <c r="IM168" s="43"/>
      <c r="IN168" s="43"/>
      <c r="IO168" s="43"/>
      <c r="IP168" s="43"/>
      <c r="IQ168" s="43"/>
      <c r="IR168" s="43"/>
      <c r="IS168" s="43"/>
      <c r="IT168" s="43"/>
    </row>
    <row r="169" spans="1:254" ht="13.7" customHeight="1" thickBot="1">
      <c r="A169" s="43"/>
      <c r="B169" s="43"/>
      <c r="C169" s="161"/>
      <c r="D169" s="161"/>
      <c r="E169" s="161"/>
      <c r="F169" s="197" t="s">
        <v>503</v>
      </c>
      <c r="G169" s="213">
        <f>G154-G168</f>
        <v>34336451.61999999</v>
      </c>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c r="GH169" s="43"/>
      <c r="GI169" s="43"/>
      <c r="GJ169" s="43"/>
      <c r="GK169" s="43"/>
      <c r="GL169" s="43"/>
      <c r="GM169" s="43"/>
      <c r="GN169" s="43"/>
      <c r="GO169" s="43"/>
      <c r="GP169" s="43"/>
      <c r="GQ169" s="43"/>
      <c r="GR169" s="43"/>
      <c r="GS169" s="43"/>
      <c r="GT169" s="43"/>
      <c r="GU169" s="43"/>
      <c r="GV169" s="43"/>
      <c r="GW169" s="43"/>
      <c r="GX169" s="43"/>
      <c r="GY169" s="43"/>
      <c r="GZ169" s="43"/>
      <c r="HA169" s="43"/>
      <c r="HB169" s="43"/>
      <c r="HC169" s="43"/>
      <c r="HD169" s="43"/>
      <c r="HE169" s="43"/>
      <c r="HF169" s="43"/>
      <c r="HG169" s="43"/>
      <c r="HH169" s="43"/>
      <c r="HI169" s="43"/>
      <c r="HJ169" s="43"/>
      <c r="HK169" s="43"/>
      <c r="HL169" s="43"/>
      <c r="HM169" s="43"/>
      <c r="HN169" s="43"/>
      <c r="HO169" s="43"/>
      <c r="HP169" s="43"/>
      <c r="HQ169" s="43"/>
      <c r="HR169" s="43"/>
      <c r="HS169" s="43"/>
      <c r="HT169" s="43"/>
      <c r="HU169" s="43"/>
      <c r="HV169" s="43"/>
      <c r="HW169" s="43"/>
      <c r="HX169" s="43"/>
      <c r="HY169" s="43"/>
      <c r="HZ169" s="43"/>
      <c r="IA169" s="43"/>
      <c r="IB169" s="43"/>
      <c r="IC169" s="43"/>
      <c r="ID169" s="43"/>
      <c r="IE169" s="43"/>
      <c r="IF169" s="43"/>
      <c r="IG169" s="43"/>
      <c r="IH169" s="43"/>
      <c r="II169" s="43"/>
      <c r="IJ169" s="43"/>
      <c r="IK169" s="43"/>
      <c r="IL169" s="43"/>
      <c r="IM169" s="43"/>
      <c r="IN169" s="43"/>
      <c r="IO169" s="43"/>
      <c r="IP169" s="43"/>
      <c r="IQ169" s="43"/>
      <c r="IR169" s="43"/>
      <c r="IS169" s="43"/>
      <c r="IT169" s="43"/>
    </row>
    <row r="170" spans="1:254" ht="7.5" customHeight="1" thickBot="1">
      <c r="A170" s="43"/>
      <c r="B170" s="43"/>
      <c r="C170" s="161"/>
      <c r="D170" s="161"/>
      <c r="E170" s="161"/>
      <c r="F170" s="161"/>
      <c r="G170" s="161"/>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43"/>
      <c r="FH170" s="43"/>
      <c r="FI170" s="43"/>
      <c r="FJ170" s="43"/>
      <c r="FK170" s="43"/>
      <c r="FL170" s="43"/>
      <c r="FM170" s="43"/>
      <c r="FN170" s="43"/>
      <c r="FO170" s="43"/>
      <c r="FP170" s="43"/>
      <c r="FQ170" s="43"/>
      <c r="FR170" s="43"/>
      <c r="FS170" s="43"/>
      <c r="FT170" s="43"/>
      <c r="FU170" s="43"/>
      <c r="FV170" s="43"/>
      <c r="FW170" s="43"/>
      <c r="FX170" s="43"/>
      <c r="FY170" s="43"/>
      <c r="FZ170" s="43"/>
      <c r="GA170" s="43"/>
      <c r="GB170" s="43"/>
      <c r="GC170" s="43"/>
      <c r="GD170" s="43"/>
      <c r="GE170" s="43"/>
      <c r="GF170" s="43"/>
      <c r="GG170" s="43"/>
      <c r="GH170" s="43"/>
      <c r="GI170" s="43"/>
      <c r="GJ170" s="43"/>
      <c r="GK170" s="43"/>
      <c r="GL170" s="43"/>
      <c r="GM170" s="43"/>
      <c r="GN170" s="43"/>
      <c r="GO170" s="43"/>
      <c r="GP170" s="43"/>
      <c r="GQ170" s="43"/>
      <c r="GR170" s="43"/>
      <c r="GS170" s="43"/>
      <c r="GT170" s="43"/>
      <c r="GU170" s="43"/>
      <c r="GV170" s="43"/>
      <c r="GW170" s="43"/>
      <c r="GX170" s="43"/>
      <c r="GY170" s="43"/>
      <c r="GZ170" s="43"/>
      <c r="HA170" s="43"/>
      <c r="HB170" s="43"/>
      <c r="HC170" s="43"/>
      <c r="HD170" s="43"/>
      <c r="HE170" s="43"/>
      <c r="HF170" s="43"/>
      <c r="HG170" s="43"/>
      <c r="HH170" s="43"/>
      <c r="HI170" s="43"/>
      <c r="HJ170" s="43"/>
      <c r="HK170" s="43"/>
      <c r="HL170" s="43"/>
      <c r="HM170" s="43"/>
      <c r="HN170" s="43"/>
      <c r="HO170" s="43"/>
      <c r="HP170" s="43"/>
      <c r="HQ170" s="43"/>
      <c r="HR170" s="43"/>
      <c r="HS170" s="43"/>
      <c r="HT170" s="43"/>
      <c r="HU170" s="43"/>
      <c r="HV170" s="43"/>
      <c r="HW170" s="43"/>
      <c r="HX170" s="43"/>
      <c r="HY170" s="43"/>
      <c r="HZ170" s="43"/>
      <c r="IA170" s="43"/>
      <c r="IB170" s="43"/>
      <c r="IC170" s="43"/>
      <c r="ID170" s="43"/>
      <c r="IE170" s="43"/>
      <c r="IF170" s="43"/>
      <c r="IG170" s="43"/>
      <c r="IH170" s="43"/>
      <c r="II170" s="43"/>
      <c r="IJ170" s="43"/>
      <c r="IK170" s="43"/>
      <c r="IL170" s="43"/>
      <c r="IM170" s="43"/>
      <c r="IN170" s="43"/>
      <c r="IO170" s="43"/>
      <c r="IP170" s="43"/>
      <c r="IQ170" s="43"/>
      <c r="IR170" s="43"/>
      <c r="IS170" s="43"/>
      <c r="IT170" s="43"/>
    </row>
    <row r="171" spans="1:254" ht="13.7" customHeight="1" thickBot="1">
      <c r="A171" s="43"/>
      <c r="B171" s="43"/>
      <c r="C171" s="161"/>
      <c r="D171" s="161"/>
      <c r="E171" s="161"/>
      <c r="F171" s="189" t="s">
        <v>504</v>
      </c>
      <c r="G171" s="217"/>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3"/>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43"/>
      <c r="CK171" s="43"/>
      <c r="CL171" s="43"/>
      <c r="CM171" s="43"/>
      <c r="CN171" s="43"/>
      <c r="CO171" s="43"/>
      <c r="CP171" s="43"/>
      <c r="CQ171" s="43"/>
      <c r="CR171" s="43"/>
      <c r="CS171" s="43"/>
      <c r="CT171" s="43"/>
      <c r="CU171" s="43"/>
      <c r="CV171" s="43"/>
      <c r="CW171" s="43"/>
      <c r="CX171" s="43"/>
      <c r="CY171" s="43"/>
      <c r="CZ171" s="43"/>
      <c r="DA171" s="43"/>
      <c r="DB171" s="43"/>
      <c r="DC171" s="43"/>
      <c r="DD171" s="43"/>
      <c r="DE171" s="43"/>
      <c r="DF171" s="43"/>
      <c r="DG171" s="43"/>
      <c r="DH171" s="43"/>
      <c r="DI171" s="43"/>
      <c r="DJ171" s="43"/>
      <c r="DK171" s="43"/>
      <c r="DL171" s="43"/>
      <c r="DM171" s="43"/>
      <c r="DN171" s="43"/>
      <c r="DO171" s="43"/>
      <c r="DP171" s="43"/>
      <c r="DQ171" s="43"/>
      <c r="DR171" s="43"/>
      <c r="DS171" s="43"/>
      <c r="DT171" s="43"/>
      <c r="DU171" s="43"/>
      <c r="DV171" s="43"/>
      <c r="DW171" s="43"/>
      <c r="DX171" s="43"/>
      <c r="DY171" s="43"/>
      <c r="DZ171" s="43"/>
      <c r="EA171" s="43"/>
      <c r="EB171" s="43"/>
      <c r="EC171" s="43"/>
      <c r="ED171" s="43"/>
      <c r="EE171" s="43"/>
      <c r="EF171" s="43"/>
      <c r="EG171" s="43"/>
      <c r="EH171" s="43"/>
      <c r="EI171" s="43"/>
      <c r="EJ171" s="43"/>
      <c r="EK171" s="43"/>
      <c r="EL171" s="43"/>
      <c r="EM171" s="43"/>
      <c r="EN171" s="43"/>
      <c r="EO171" s="43"/>
      <c r="EP171" s="43"/>
      <c r="EQ171" s="43"/>
      <c r="ER171" s="43"/>
      <c r="ES171" s="43"/>
      <c r="ET171" s="43"/>
      <c r="EU171" s="43"/>
      <c r="EV171" s="43"/>
      <c r="EW171" s="43"/>
      <c r="EX171" s="43"/>
      <c r="EY171" s="43"/>
      <c r="EZ171" s="43"/>
      <c r="FA171" s="43"/>
      <c r="FB171" s="43"/>
      <c r="FC171" s="43"/>
      <c r="FD171" s="43"/>
      <c r="FE171" s="43"/>
      <c r="FF171" s="43"/>
      <c r="FG171" s="43"/>
      <c r="FH171" s="43"/>
      <c r="FI171" s="43"/>
      <c r="FJ171" s="43"/>
      <c r="FK171" s="43"/>
      <c r="FL171" s="43"/>
      <c r="FM171" s="43"/>
      <c r="FN171" s="43"/>
      <c r="FO171" s="43"/>
      <c r="FP171" s="43"/>
      <c r="FQ171" s="43"/>
      <c r="FR171" s="43"/>
      <c r="FS171" s="43"/>
      <c r="FT171" s="43"/>
      <c r="FU171" s="43"/>
      <c r="FV171" s="43"/>
      <c r="FW171" s="43"/>
      <c r="FX171" s="43"/>
      <c r="FY171" s="43"/>
      <c r="FZ171" s="43"/>
      <c r="GA171" s="43"/>
      <c r="GB171" s="43"/>
      <c r="GC171" s="43"/>
      <c r="GD171" s="43"/>
      <c r="GE171" s="43"/>
      <c r="GF171" s="43"/>
      <c r="GG171" s="43"/>
      <c r="GH171" s="43"/>
      <c r="GI171" s="43"/>
      <c r="GJ171" s="43"/>
      <c r="GK171" s="43"/>
      <c r="GL171" s="43"/>
      <c r="GM171" s="43"/>
      <c r="GN171" s="43"/>
      <c r="GO171" s="43"/>
      <c r="GP171" s="43"/>
      <c r="GQ171" s="43"/>
      <c r="GR171" s="43"/>
      <c r="GS171" s="43"/>
      <c r="GT171" s="43"/>
      <c r="GU171" s="43"/>
      <c r="GV171" s="43"/>
      <c r="GW171" s="43"/>
      <c r="GX171" s="43"/>
      <c r="GY171" s="43"/>
      <c r="GZ171" s="43"/>
      <c r="HA171" s="43"/>
      <c r="HB171" s="43"/>
      <c r="HC171" s="43"/>
      <c r="HD171" s="43"/>
      <c r="HE171" s="43"/>
      <c r="HF171" s="43"/>
      <c r="HG171" s="43"/>
      <c r="HH171" s="43"/>
      <c r="HI171" s="43"/>
      <c r="HJ171" s="43"/>
      <c r="HK171" s="43"/>
      <c r="HL171" s="43"/>
      <c r="HM171" s="43"/>
      <c r="HN171" s="43"/>
      <c r="HO171" s="43"/>
      <c r="HP171" s="43"/>
      <c r="HQ171" s="43"/>
      <c r="HR171" s="43"/>
      <c r="HS171" s="43"/>
      <c r="HT171" s="43"/>
      <c r="HU171" s="43"/>
      <c r="HV171" s="43"/>
      <c r="HW171" s="43"/>
      <c r="HX171" s="43"/>
      <c r="HY171" s="43"/>
      <c r="HZ171" s="43"/>
      <c r="IA171" s="43"/>
      <c r="IB171" s="43"/>
      <c r="IC171" s="43"/>
      <c r="ID171" s="43"/>
      <c r="IE171" s="43"/>
      <c r="IF171" s="43"/>
      <c r="IG171" s="43"/>
      <c r="IH171" s="43"/>
      <c r="II171" s="43"/>
      <c r="IJ171" s="43"/>
      <c r="IK171" s="43"/>
      <c r="IL171" s="43"/>
      <c r="IM171" s="43"/>
      <c r="IN171" s="43"/>
      <c r="IO171" s="43"/>
      <c r="IP171" s="43"/>
      <c r="IQ171" s="43"/>
      <c r="IR171" s="43"/>
      <c r="IS171" s="43"/>
      <c r="IT171" s="43"/>
    </row>
    <row r="172" spans="1:254" ht="13.7" customHeight="1" thickBot="1">
      <c r="A172" s="43"/>
      <c r="B172" s="43"/>
      <c r="C172" s="161"/>
      <c r="D172" s="161"/>
      <c r="E172" s="161"/>
      <c r="F172" s="218"/>
      <c r="G172" s="219">
        <f>+D155+G140+G169</f>
        <v>219999850.23000073</v>
      </c>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3"/>
      <c r="FI172" s="43"/>
      <c r="FJ172" s="43"/>
      <c r="FK172" s="43"/>
      <c r="FL172" s="43"/>
      <c r="FM172" s="43"/>
      <c r="FN172" s="43"/>
      <c r="FO172" s="43"/>
      <c r="FP172" s="43"/>
      <c r="FQ172" s="43"/>
      <c r="FR172" s="43"/>
      <c r="FS172" s="43"/>
      <c r="FT172" s="43"/>
      <c r="FU172" s="43"/>
      <c r="FV172" s="43"/>
      <c r="FW172" s="43"/>
      <c r="FX172" s="43"/>
      <c r="FY172" s="43"/>
      <c r="FZ172" s="43"/>
      <c r="GA172" s="43"/>
      <c r="GB172" s="43"/>
      <c r="GC172" s="43"/>
      <c r="GD172" s="43"/>
      <c r="GE172" s="43"/>
      <c r="GF172" s="43"/>
      <c r="GG172" s="43"/>
      <c r="GH172" s="43"/>
      <c r="GI172" s="43"/>
      <c r="GJ172" s="43"/>
      <c r="GK172" s="43"/>
      <c r="GL172" s="43"/>
      <c r="GM172" s="43"/>
      <c r="GN172" s="43"/>
      <c r="GO172" s="43"/>
      <c r="GP172" s="43"/>
      <c r="GQ172" s="43"/>
      <c r="GR172" s="43"/>
      <c r="GS172" s="43"/>
      <c r="GT172" s="43"/>
      <c r="GU172" s="43"/>
      <c r="GV172" s="43"/>
      <c r="GW172" s="43"/>
      <c r="GX172" s="43"/>
      <c r="GY172" s="43"/>
      <c r="GZ172" s="43"/>
      <c r="HA172" s="43"/>
      <c r="HB172" s="43"/>
      <c r="HC172" s="43"/>
      <c r="HD172" s="43"/>
      <c r="HE172" s="43"/>
      <c r="HF172" s="43"/>
      <c r="HG172" s="43"/>
      <c r="HH172" s="43"/>
      <c r="HI172" s="43"/>
      <c r="HJ172" s="43"/>
      <c r="HK172" s="43"/>
      <c r="HL172" s="43"/>
      <c r="HM172" s="43"/>
      <c r="HN172" s="43"/>
      <c r="HO172" s="43"/>
      <c r="HP172" s="43"/>
      <c r="HQ172" s="43"/>
      <c r="HR172" s="43"/>
      <c r="HS172" s="43"/>
      <c r="HT172" s="43"/>
      <c r="HU172" s="43"/>
      <c r="HV172" s="43"/>
      <c r="HW172" s="43"/>
      <c r="HX172" s="43"/>
      <c r="HY172" s="43"/>
      <c r="HZ172" s="43"/>
      <c r="IA172" s="43"/>
      <c r="IB172" s="43"/>
      <c r="IC172" s="43"/>
      <c r="ID172" s="43"/>
      <c r="IE172" s="43"/>
      <c r="IF172" s="43"/>
      <c r="IG172" s="43"/>
      <c r="IH172" s="43"/>
      <c r="II172" s="43"/>
      <c r="IJ172" s="43"/>
      <c r="IK172" s="43"/>
      <c r="IL172" s="43"/>
      <c r="IM172" s="43"/>
      <c r="IN172" s="43"/>
      <c r="IO172" s="43"/>
      <c r="IP172" s="43"/>
      <c r="IQ172" s="43"/>
      <c r="IR172" s="43"/>
      <c r="IS172" s="43"/>
      <c r="IT172" s="43"/>
    </row>
    <row r="173" spans="1:254" ht="9" customHeight="1" thickBot="1">
      <c r="A173" s="43"/>
      <c r="B173" s="43"/>
      <c r="C173" s="161"/>
      <c r="D173" s="161"/>
      <c r="E173" s="161"/>
      <c r="F173" s="220"/>
      <c r="G173" s="221"/>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c r="EO173" s="43"/>
      <c r="EP173" s="43"/>
      <c r="EQ173" s="43"/>
      <c r="ER173" s="43"/>
      <c r="ES173" s="43"/>
      <c r="ET173" s="43"/>
      <c r="EU173" s="43"/>
      <c r="EV173" s="43"/>
      <c r="EW173" s="43"/>
      <c r="EX173" s="43"/>
      <c r="EY173" s="43"/>
      <c r="EZ173" s="43"/>
      <c r="FA173" s="43"/>
      <c r="FB173" s="43"/>
      <c r="FC173" s="43"/>
      <c r="FD173" s="43"/>
      <c r="FE173" s="43"/>
      <c r="FF173" s="43"/>
      <c r="FG173" s="43"/>
      <c r="FH173" s="43"/>
      <c r="FI173" s="43"/>
      <c r="FJ173" s="43"/>
      <c r="FK173" s="43"/>
      <c r="FL173" s="43"/>
      <c r="FM173" s="43"/>
      <c r="FN173" s="43"/>
      <c r="FO173" s="43"/>
      <c r="FP173" s="43"/>
      <c r="FQ173" s="43"/>
      <c r="FR173" s="43"/>
      <c r="FS173" s="43"/>
      <c r="FT173" s="43"/>
      <c r="FU173" s="43"/>
      <c r="FV173" s="43"/>
      <c r="FW173" s="43"/>
      <c r="FX173" s="43"/>
      <c r="FY173" s="43"/>
      <c r="FZ173" s="43"/>
      <c r="GA173" s="43"/>
      <c r="GB173" s="43"/>
      <c r="GC173" s="43"/>
      <c r="GD173" s="43"/>
      <c r="GE173" s="43"/>
      <c r="GF173" s="43"/>
      <c r="GG173" s="43"/>
      <c r="GH173" s="43"/>
      <c r="GI173" s="43"/>
      <c r="GJ173" s="43"/>
      <c r="GK173" s="43"/>
      <c r="GL173" s="43"/>
      <c r="GM173" s="43"/>
      <c r="GN173" s="43"/>
      <c r="GO173" s="43"/>
      <c r="GP173" s="43"/>
      <c r="GQ173" s="43"/>
      <c r="GR173" s="43"/>
      <c r="GS173" s="43"/>
      <c r="GT173" s="43"/>
      <c r="GU173" s="43"/>
      <c r="GV173" s="43"/>
      <c r="GW173" s="43"/>
      <c r="GX173" s="43"/>
      <c r="GY173" s="43"/>
      <c r="GZ173" s="43"/>
      <c r="HA173" s="43"/>
      <c r="HB173" s="43"/>
      <c r="HC173" s="43"/>
      <c r="HD173" s="43"/>
      <c r="HE173" s="43"/>
      <c r="HF173" s="43"/>
      <c r="HG173" s="43"/>
      <c r="HH173" s="43"/>
      <c r="HI173" s="43"/>
      <c r="HJ173" s="43"/>
      <c r="HK173" s="43"/>
      <c r="HL173" s="43"/>
      <c r="HM173" s="43"/>
      <c r="HN173" s="43"/>
      <c r="HO173" s="43"/>
      <c r="HP173" s="43"/>
      <c r="HQ173" s="43"/>
      <c r="HR173" s="43"/>
      <c r="HS173" s="43"/>
      <c r="HT173" s="43"/>
      <c r="HU173" s="43"/>
      <c r="HV173" s="43"/>
      <c r="HW173" s="43"/>
      <c r="HX173" s="43"/>
      <c r="HY173" s="43"/>
      <c r="HZ173" s="43"/>
      <c r="IA173" s="43"/>
      <c r="IB173" s="43"/>
      <c r="IC173" s="43"/>
      <c r="ID173" s="43"/>
      <c r="IE173" s="43"/>
      <c r="IF173" s="43"/>
      <c r="IG173" s="43"/>
      <c r="IH173" s="43"/>
      <c r="II173" s="43"/>
      <c r="IJ173" s="43"/>
      <c r="IK173" s="43"/>
      <c r="IL173" s="43"/>
      <c r="IM173" s="43"/>
      <c r="IN173" s="43"/>
      <c r="IO173" s="43"/>
      <c r="IP173" s="43"/>
      <c r="IQ173" s="43"/>
      <c r="IR173" s="43"/>
      <c r="IS173" s="43"/>
      <c r="IT173" s="43"/>
    </row>
    <row r="174" spans="1:254" ht="15" customHeight="1" thickBot="1">
      <c r="A174" s="43"/>
      <c r="B174" s="43"/>
      <c r="C174" s="161"/>
      <c r="D174" s="161"/>
      <c r="E174" s="161"/>
      <c r="F174" s="189" t="s">
        <v>505</v>
      </c>
      <c r="G174" s="205">
        <f>+G143</f>
        <v>2021</v>
      </c>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3"/>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43"/>
      <c r="CK174" s="43"/>
      <c r="CL174" s="43"/>
      <c r="CM174" s="43"/>
      <c r="CN174" s="43"/>
      <c r="CO174" s="43"/>
      <c r="CP174" s="43"/>
      <c r="CQ174" s="43"/>
      <c r="CR174" s="43"/>
      <c r="CS174" s="43"/>
      <c r="CT174" s="43"/>
      <c r="CU174" s="43"/>
      <c r="CV174" s="43"/>
      <c r="CW174" s="43"/>
      <c r="CX174" s="43"/>
      <c r="CY174" s="43"/>
      <c r="CZ174" s="43"/>
      <c r="DA174" s="43"/>
      <c r="DB174" s="43"/>
      <c r="DC174" s="43"/>
      <c r="DD174" s="43"/>
      <c r="DE174" s="43"/>
      <c r="DF174" s="43"/>
      <c r="DG174" s="43"/>
      <c r="DH174" s="43"/>
      <c r="DI174" s="43"/>
      <c r="DJ174" s="43"/>
      <c r="DK174" s="43"/>
      <c r="DL174" s="43"/>
      <c r="DM174" s="43"/>
      <c r="DN174" s="43"/>
      <c r="DO174" s="43"/>
      <c r="DP174" s="43"/>
      <c r="DQ174" s="43"/>
      <c r="DR174" s="43"/>
      <c r="DS174" s="43"/>
      <c r="DT174" s="43"/>
      <c r="DU174" s="43"/>
      <c r="DV174" s="43"/>
      <c r="DW174" s="43"/>
      <c r="DX174" s="43"/>
      <c r="DY174" s="43"/>
      <c r="DZ174" s="43"/>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3"/>
      <c r="HF174" s="43"/>
      <c r="HG174" s="43"/>
      <c r="HH174" s="43"/>
      <c r="HI174" s="43"/>
      <c r="HJ174" s="43"/>
      <c r="HK174" s="43"/>
      <c r="HL174" s="43"/>
      <c r="HM174" s="43"/>
      <c r="HN174" s="43"/>
      <c r="HO174" s="43"/>
      <c r="HP174" s="43"/>
      <c r="HQ174" s="43"/>
      <c r="HR174" s="43"/>
      <c r="HS174" s="43"/>
      <c r="HT174" s="43"/>
      <c r="HU174" s="43"/>
      <c r="HV174" s="43"/>
      <c r="HW174" s="43"/>
      <c r="HX174" s="43"/>
      <c r="HY174" s="43"/>
      <c r="HZ174" s="43"/>
      <c r="IA174" s="43"/>
      <c r="IB174" s="43"/>
      <c r="IC174" s="43"/>
      <c r="ID174" s="43"/>
      <c r="IE174" s="43"/>
      <c r="IF174" s="43"/>
      <c r="IG174" s="43"/>
      <c r="IH174" s="43"/>
      <c r="II174" s="43"/>
      <c r="IJ174" s="43"/>
      <c r="IK174" s="43"/>
      <c r="IL174" s="43"/>
      <c r="IM174" s="43"/>
      <c r="IN174" s="43"/>
      <c r="IO174" s="43"/>
      <c r="IP174" s="43"/>
      <c r="IQ174" s="43"/>
      <c r="IR174" s="43"/>
      <c r="IS174" s="43"/>
      <c r="IT174" s="43"/>
    </row>
    <row r="175" spans="1:254" ht="13.7" customHeight="1">
      <c r="A175" s="43"/>
      <c r="B175" s="43"/>
      <c r="C175" s="161"/>
      <c r="D175" s="161"/>
      <c r="E175" s="161"/>
      <c r="F175" s="206" t="s">
        <v>506</v>
      </c>
      <c r="G175" s="207">
        <v>0</v>
      </c>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c r="DW175" s="43"/>
      <c r="DX175" s="43"/>
      <c r="DY175" s="43"/>
      <c r="DZ175" s="43"/>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c r="FJ175" s="43"/>
      <c r="FK175" s="43"/>
      <c r="FL175" s="43"/>
      <c r="FM175" s="43"/>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3"/>
      <c r="GS175" s="43"/>
      <c r="GT175" s="43"/>
      <c r="GU175" s="43"/>
      <c r="GV175" s="43"/>
      <c r="GW175" s="43"/>
      <c r="GX175" s="43"/>
      <c r="GY175" s="43"/>
      <c r="GZ175" s="43"/>
      <c r="HA175" s="43"/>
      <c r="HB175" s="43"/>
      <c r="HC175" s="43"/>
      <c r="HD175" s="43"/>
      <c r="HE175" s="43"/>
      <c r="HF175" s="43"/>
      <c r="HG175" s="43"/>
      <c r="HH175" s="43"/>
      <c r="HI175" s="43"/>
      <c r="HJ175" s="43"/>
      <c r="HK175" s="43"/>
      <c r="HL175" s="43"/>
      <c r="HM175" s="43"/>
      <c r="HN175" s="43"/>
      <c r="HO175" s="43"/>
      <c r="HP175" s="43"/>
      <c r="HQ175" s="43"/>
      <c r="HR175" s="43"/>
      <c r="HS175" s="43"/>
      <c r="HT175" s="43"/>
      <c r="HU175" s="43"/>
      <c r="HV175" s="43"/>
      <c r="HW175" s="43"/>
      <c r="HX175" s="43"/>
      <c r="HY175" s="43"/>
      <c r="HZ175" s="43"/>
      <c r="IA175" s="43"/>
      <c r="IB175" s="43"/>
      <c r="IC175" s="43"/>
      <c r="ID175" s="43"/>
      <c r="IE175" s="43"/>
      <c r="IF175" s="43"/>
      <c r="IG175" s="43"/>
      <c r="IH175" s="43"/>
      <c r="II175" s="43"/>
      <c r="IJ175" s="43"/>
      <c r="IK175" s="43"/>
      <c r="IL175" s="43"/>
      <c r="IM175" s="43"/>
      <c r="IN175" s="43"/>
      <c r="IO175" s="43"/>
      <c r="IP175" s="43"/>
      <c r="IQ175" s="43"/>
      <c r="IR175" s="43"/>
      <c r="IS175" s="43"/>
      <c r="IT175" s="43"/>
    </row>
    <row r="176" spans="1:254" ht="13.7" customHeight="1">
      <c r="A176" s="43"/>
      <c r="B176" s="43"/>
      <c r="C176" s="161"/>
      <c r="D176" s="161"/>
      <c r="E176" s="161"/>
      <c r="F176" s="208" t="s">
        <v>507</v>
      </c>
      <c r="G176" s="209">
        <v>0</v>
      </c>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43"/>
      <c r="FI176" s="43"/>
      <c r="FJ176" s="43"/>
      <c r="FK176" s="43"/>
      <c r="FL176" s="43"/>
      <c r="FM176" s="43"/>
      <c r="FN176" s="43"/>
      <c r="FO176" s="43"/>
      <c r="FP176" s="43"/>
      <c r="FQ176" s="43"/>
      <c r="FR176" s="43"/>
      <c r="FS176" s="43"/>
      <c r="FT176" s="43"/>
      <c r="FU176" s="43"/>
      <c r="FV176" s="43"/>
      <c r="FW176" s="43"/>
      <c r="FX176" s="43"/>
      <c r="FY176" s="43"/>
      <c r="FZ176" s="43"/>
      <c r="GA176" s="43"/>
      <c r="GB176" s="43"/>
      <c r="GC176" s="43"/>
      <c r="GD176" s="43"/>
      <c r="GE176" s="43"/>
      <c r="GF176" s="43"/>
      <c r="GG176" s="43"/>
      <c r="GH176" s="43"/>
      <c r="GI176" s="43"/>
      <c r="GJ176" s="43"/>
      <c r="GK176" s="43"/>
      <c r="GL176" s="43"/>
      <c r="GM176" s="43"/>
      <c r="GN176" s="43"/>
      <c r="GO176" s="43"/>
      <c r="GP176" s="43"/>
      <c r="GQ176" s="43"/>
      <c r="GR176" s="43"/>
      <c r="GS176" s="43"/>
      <c r="GT176" s="43"/>
      <c r="GU176" s="43"/>
      <c r="GV176" s="43"/>
      <c r="GW176" s="43"/>
      <c r="GX176" s="43"/>
      <c r="GY176" s="43"/>
      <c r="GZ176" s="43"/>
      <c r="HA176" s="43"/>
      <c r="HB176" s="43"/>
      <c r="HC176" s="43"/>
      <c r="HD176" s="43"/>
      <c r="HE176" s="43"/>
      <c r="HF176" s="43"/>
      <c r="HG176" s="43"/>
      <c r="HH176" s="43"/>
      <c r="HI176" s="43"/>
      <c r="HJ176" s="43"/>
      <c r="HK176" s="43"/>
      <c r="HL176" s="43"/>
      <c r="HM176" s="43"/>
      <c r="HN176" s="43"/>
      <c r="HO176" s="43"/>
      <c r="HP176" s="43"/>
      <c r="HQ176" s="43"/>
      <c r="HR176" s="43"/>
      <c r="HS176" s="43"/>
      <c r="HT176" s="43"/>
      <c r="HU176" s="43"/>
      <c r="HV176" s="43"/>
      <c r="HW176" s="43"/>
      <c r="HX176" s="43"/>
      <c r="HY176" s="43"/>
      <c r="HZ176" s="43"/>
      <c r="IA176" s="43"/>
      <c r="IB176" s="43"/>
      <c r="IC176" s="43"/>
      <c r="ID176" s="43"/>
      <c r="IE176" s="43"/>
      <c r="IF176" s="43"/>
      <c r="IG176" s="43"/>
      <c r="IH176" s="43"/>
      <c r="II176" s="43"/>
      <c r="IJ176" s="43"/>
      <c r="IK176" s="43"/>
      <c r="IL176" s="43"/>
      <c r="IM176" s="43"/>
      <c r="IN176" s="43"/>
      <c r="IO176" s="43"/>
      <c r="IP176" s="43"/>
      <c r="IQ176" s="43"/>
      <c r="IR176" s="43"/>
      <c r="IS176" s="43"/>
      <c r="IT176" s="43"/>
    </row>
    <row r="177" spans="1:254" ht="13.7" customHeight="1" thickBot="1">
      <c r="A177" s="43"/>
      <c r="B177" s="43"/>
      <c r="C177" s="161"/>
      <c r="D177" s="161"/>
      <c r="E177" s="161"/>
      <c r="F177" s="208" t="s">
        <v>508</v>
      </c>
      <c r="G177" s="209">
        <v>0</v>
      </c>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3"/>
      <c r="DO177" s="43"/>
      <c r="DP177" s="43"/>
      <c r="DQ177" s="43"/>
      <c r="DR177" s="43"/>
      <c r="DS177" s="43"/>
      <c r="DT177" s="43"/>
      <c r="DU177" s="43"/>
      <c r="DV177" s="43"/>
      <c r="DW177" s="43"/>
      <c r="DX177" s="43"/>
      <c r="DY177" s="43"/>
      <c r="DZ177" s="43"/>
      <c r="EA177" s="43"/>
      <c r="EB177" s="43"/>
      <c r="EC177" s="43"/>
      <c r="ED177" s="43"/>
      <c r="EE177" s="43"/>
      <c r="EF177" s="43"/>
      <c r="EG177" s="43"/>
      <c r="EH177" s="43"/>
      <c r="EI177" s="43"/>
      <c r="EJ177" s="43"/>
      <c r="EK177" s="43"/>
      <c r="EL177" s="43"/>
      <c r="EM177" s="43"/>
      <c r="EN177" s="43"/>
      <c r="EO177" s="43"/>
      <c r="EP177" s="43"/>
      <c r="EQ177" s="43"/>
      <c r="ER177" s="43"/>
      <c r="ES177" s="43"/>
      <c r="ET177" s="43"/>
      <c r="EU177" s="43"/>
      <c r="EV177" s="43"/>
      <c r="EW177" s="43"/>
      <c r="EX177" s="43"/>
      <c r="EY177" s="43"/>
      <c r="EZ177" s="43"/>
      <c r="FA177" s="43"/>
      <c r="FB177" s="43"/>
      <c r="FC177" s="43"/>
      <c r="FD177" s="43"/>
      <c r="FE177" s="43"/>
      <c r="FF177" s="43"/>
      <c r="FG177" s="43"/>
      <c r="FH177" s="43"/>
      <c r="FI177" s="43"/>
      <c r="FJ177" s="43"/>
      <c r="FK177" s="43"/>
      <c r="FL177" s="43"/>
      <c r="FM177" s="43"/>
      <c r="FN177" s="43"/>
      <c r="FO177" s="43"/>
      <c r="FP177" s="43"/>
      <c r="FQ177" s="43"/>
      <c r="FR177" s="43"/>
      <c r="FS177" s="43"/>
      <c r="FT177" s="43"/>
      <c r="FU177" s="43"/>
      <c r="FV177" s="43"/>
      <c r="FW177" s="43"/>
      <c r="FX177" s="43"/>
      <c r="FY177" s="43"/>
      <c r="FZ177" s="43"/>
      <c r="GA177" s="43"/>
      <c r="GB177" s="43"/>
      <c r="GC177" s="43"/>
      <c r="GD177" s="43"/>
      <c r="GE177" s="43"/>
      <c r="GF177" s="43"/>
      <c r="GG177" s="43"/>
      <c r="GH177" s="43"/>
      <c r="GI177" s="43"/>
      <c r="GJ177" s="43"/>
      <c r="GK177" s="43"/>
      <c r="GL177" s="43"/>
      <c r="GM177" s="43"/>
      <c r="GN177" s="43"/>
      <c r="GO177" s="43"/>
      <c r="GP177" s="43"/>
      <c r="GQ177" s="43"/>
      <c r="GR177" s="43"/>
      <c r="GS177" s="43"/>
      <c r="GT177" s="43"/>
      <c r="GU177" s="43"/>
      <c r="GV177" s="43"/>
      <c r="GW177" s="43"/>
      <c r="GX177" s="43"/>
      <c r="GY177" s="43"/>
      <c r="GZ177" s="43"/>
      <c r="HA177" s="43"/>
      <c r="HB177" s="43"/>
      <c r="HC177" s="43"/>
      <c r="HD177" s="43"/>
      <c r="HE177" s="43"/>
      <c r="HF177" s="43"/>
      <c r="HG177" s="43"/>
      <c r="HH177" s="43"/>
      <c r="HI177" s="43"/>
      <c r="HJ177" s="43"/>
      <c r="HK177" s="43"/>
      <c r="HL177" s="43"/>
      <c r="HM177" s="43"/>
      <c r="HN177" s="43"/>
      <c r="HO177" s="43"/>
      <c r="HP177" s="43"/>
      <c r="HQ177" s="43"/>
      <c r="HR177" s="43"/>
      <c r="HS177" s="43"/>
      <c r="HT177" s="43"/>
      <c r="HU177" s="43"/>
      <c r="HV177" s="43"/>
      <c r="HW177" s="43"/>
      <c r="HX177" s="43"/>
      <c r="HY177" s="43"/>
      <c r="HZ177" s="43"/>
      <c r="IA177" s="43"/>
      <c r="IB177" s="43"/>
      <c r="IC177" s="43"/>
      <c r="ID177" s="43"/>
      <c r="IE177" s="43"/>
      <c r="IF177" s="43"/>
      <c r="IG177" s="43"/>
      <c r="IH177" s="43"/>
      <c r="II177" s="43"/>
      <c r="IJ177" s="43"/>
      <c r="IK177" s="43"/>
      <c r="IL177" s="43"/>
      <c r="IM177" s="43"/>
      <c r="IN177" s="43"/>
      <c r="IO177" s="43"/>
      <c r="IP177" s="43"/>
      <c r="IQ177" s="43"/>
      <c r="IR177" s="43"/>
      <c r="IS177" s="43"/>
      <c r="IT177" s="43"/>
    </row>
    <row r="178" spans="1:254" ht="13.7" customHeight="1" thickBot="1">
      <c r="A178" s="43"/>
      <c r="B178" s="43"/>
      <c r="C178" s="161"/>
      <c r="D178" s="161"/>
      <c r="E178" s="161"/>
      <c r="F178" s="189" t="s">
        <v>509</v>
      </c>
      <c r="G178" s="190">
        <f>SUM(G175:G177)</f>
        <v>0</v>
      </c>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43"/>
      <c r="DK178" s="43"/>
      <c r="DL178" s="43"/>
      <c r="DM178" s="43"/>
      <c r="DN178" s="43"/>
      <c r="DO178" s="43"/>
      <c r="DP178" s="43"/>
      <c r="DQ178" s="43"/>
      <c r="DR178" s="43"/>
      <c r="DS178" s="43"/>
      <c r="DT178" s="43"/>
      <c r="DU178" s="43"/>
      <c r="DV178" s="43"/>
      <c r="DW178" s="43"/>
      <c r="DX178" s="43"/>
      <c r="DY178" s="43"/>
      <c r="DZ178" s="43"/>
      <c r="EA178" s="43"/>
      <c r="EB178" s="43"/>
      <c r="EC178" s="43"/>
      <c r="ED178" s="43"/>
      <c r="EE178" s="43"/>
      <c r="EF178" s="43"/>
      <c r="EG178" s="43"/>
      <c r="EH178" s="43"/>
      <c r="EI178" s="43"/>
      <c r="EJ178" s="43"/>
      <c r="EK178" s="43"/>
      <c r="EL178" s="43"/>
      <c r="EM178" s="43"/>
      <c r="EN178" s="43"/>
      <c r="EO178" s="43"/>
      <c r="EP178" s="43"/>
      <c r="EQ178" s="43"/>
      <c r="ER178" s="43"/>
      <c r="ES178" s="43"/>
      <c r="ET178" s="43"/>
      <c r="EU178" s="43"/>
      <c r="EV178" s="43"/>
      <c r="EW178" s="43"/>
      <c r="EX178" s="43"/>
      <c r="EY178" s="43"/>
      <c r="EZ178" s="43"/>
      <c r="FA178" s="43"/>
      <c r="FB178" s="43"/>
      <c r="FC178" s="43"/>
      <c r="FD178" s="43"/>
      <c r="FE178" s="43"/>
      <c r="FF178" s="43"/>
      <c r="FG178" s="43"/>
      <c r="FH178" s="43"/>
      <c r="FI178" s="43"/>
      <c r="FJ178" s="43"/>
      <c r="FK178" s="43"/>
      <c r="FL178" s="43"/>
      <c r="FM178" s="43"/>
      <c r="FN178" s="43"/>
      <c r="FO178" s="43"/>
      <c r="FP178" s="43"/>
      <c r="FQ178" s="43"/>
      <c r="FR178" s="43"/>
      <c r="FS178" s="43"/>
      <c r="FT178" s="43"/>
      <c r="FU178" s="43"/>
      <c r="FV178" s="43"/>
      <c r="FW178" s="43"/>
      <c r="FX178" s="43"/>
      <c r="FY178" s="43"/>
      <c r="FZ178" s="43"/>
      <c r="GA178" s="43"/>
      <c r="GB178" s="43"/>
      <c r="GC178" s="43"/>
      <c r="GD178" s="43"/>
      <c r="GE178" s="43"/>
      <c r="GF178" s="43"/>
      <c r="GG178" s="43"/>
      <c r="GH178" s="43"/>
      <c r="GI178" s="43"/>
      <c r="GJ178" s="43"/>
      <c r="GK178" s="43"/>
      <c r="GL178" s="43"/>
      <c r="GM178" s="43"/>
      <c r="GN178" s="43"/>
      <c r="GO178" s="43"/>
      <c r="GP178" s="43"/>
      <c r="GQ178" s="43"/>
      <c r="GR178" s="43"/>
      <c r="GS178" s="43"/>
      <c r="GT178" s="43"/>
      <c r="GU178" s="43"/>
      <c r="GV178" s="43"/>
      <c r="GW178" s="43"/>
      <c r="GX178" s="43"/>
      <c r="GY178" s="43"/>
      <c r="GZ178" s="43"/>
      <c r="HA178" s="43"/>
      <c r="HB178" s="43"/>
      <c r="HC178" s="43"/>
      <c r="HD178" s="43"/>
      <c r="HE178" s="43"/>
      <c r="HF178" s="43"/>
      <c r="HG178" s="43"/>
      <c r="HH178" s="43"/>
      <c r="HI178" s="43"/>
      <c r="HJ178" s="43"/>
      <c r="HK178" s="43"/>
      <c r="HL178" s="43"/>
      <c r="HM178" s="43"/>
      <c r="HN178" s="43"/>
      <c r="HO178" s="43"/>
      <c r="HP178" s="43"/>
      <c r="HQ178" s="43"/>
      <c r="HR178" s="43"/>
      <c r="HS178" s="43"/>
      <c r="HT178" s="43"/>
      <c r="HU178" s="43"/>
      <c r="HV178" s="43"/>
      <c r="HW178" s="43"/>
      <c r="HX178" s="43"/>
      <c r="HY178" s="43"/>
      <c r="HZ178" s="43"/>
      <c r="IA178" s="43"/>
      <c r="IB178" s="43"/>
      <c r="IC178" s="43"/>
      <c r="ID178" s="43"/>
      <c r="IE178" s="43"/>
      <c r="IF178" s="43"/>
      <c r="IG178" s="43"/>
      <c r="IH178" s="43"/>
      <c r="II178" s="43"/>
      <c r="IJ178" s="43"/>
      <c r="IK178" s="43"/>
      <c r="IL178" s="43"/>
      <c r="IM178" s="43"/>
      <c r="IN178" s="43"/>
      <c r="IO178" s="43"/>
      <c r="IP178" s="43"/>
      <c r="IQ178" s="43"/>
      <c r="IR178" s="43"/>
      <c r="IS178" s="43"/>
      <c r="IT178" s="43"/>
    </row>
    <row r="179" spans="1:254" ht="9.75" customHeight="1" thickBot="1">
      <c r="A179" s="43"/>
      <c r="B179" s="43"/>
      <c r="C179" s="161"/>
      <c r="D179" s="161"/>
      <c r="E179" s="161"/>
      <c r="F179" s="161"/>
      <c r="G179" s="161"/>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43"/>
      <c r="DK179" s="43"/>
      <c r="DL179" s="43"/>
      <c r="DM179" s="43"/>
      <c r="DN179" s="43"/>
      <c r="DO179" s="43"/>
      <c r="DP179" s="43"/>
      <c r="DQ179" s="43"/>
      <c r="DR179" s="43"/>
      <c r="DS179" s="43"/>
      <c r="DT179" s="43"/>
      <c r="DU179" s="43"/>
      <c r="DV179" s="43"/>
      <c r="DW179" s="43"/>
      <c r="DX179" s="43"/>
      <c r="DY179" s="43"/>
      <c r="DZ179" s="43"/>
      <c r="EA179" s="43"/>
      <c r="EB179" s="43"/>
      <c r="EC179" s="43"/>
      <c r="ED179" s="43"/>
      <c r="EE179" s="43"/>
      <c r="EF179" s="43"/>
      <c r="EG179" s="43"/>
      <c r="EH179" s="43"/>
      <c r="EI179" s="43"/>
      <c r="EJ179" s="43"/>
      <c r="EK179" s="43"/>
      <c r="EL179" s="43"/>
      <c r="EM179" s="43"/>
      <c r="EN179" s="43"/>
      <c r="EO179" s="43"/>
      <c r="EP179" s="43"/>
      <c r="EQ179" s="43"/>
      <c r="ER179" s="43"/>
      <c r="ES179" s="43"/>
      <c r="ET179" s="43"/>
      <c r="EU179" s="43"/>
      <c r="EV179" s="43"/>
      <c r="EW179" s="43"/>
      <c r="EX179" s="43"/>
      <c r="EY179" s="43"/>
      <c r="EZ179" s="43"/>
      <c r="FA179" s="43"/>
      <c r="FB179" s="43"/>
      <c r="FC179" s="43"/>
      <c r="FD179" s="43"/>
      <c r="FE179" s="43"/>
      <c r="FF179" s="43"/>
      <c r="FG179" s="43"/>
      <c r="FH179" s="43"/>
      <c r="FI179" s="43"/>
      <c r="FJ179" s="43"/>
      <c r="FK179" s="43"/>
      <c r="FL179" s="43"/>
      <c r="FM179" s="43"/>
      <c r="FN179" s="43"/>
      <c r="FO179" s="43"/>
      <c r="FP179" s="43"/>
      <c r="FQ179" s="43"/>
      <c r="FR179" s="43"/>
      <c r="FS179" s="43"/>
      <c r="FT179" s="43"/>
      <c r="FU179" s="43"/>
      <c r="FV179" s="43"/>
      <c r="FW179" s="43"/>
      <c r="FX179" s="43"/>
      <c r="FY179" s="43"/>
      <c r="FZ179" s="43"/>
      <c r="GA179" s="43"/>
      <c r="GB179" s="43"/>
      <c r="GC179" s="43"/>
      <c r="GD179" s="43"/>
      <c r="GE179" s="43"/>
      <c r="GF179" s="43"/>
      <c r="GG179" s="43"/>
      <c r="GH179" s="43"/>
      <c r="GI179" s="43"/>
      <c r="GJ179" s="43"/>
      <c r="GK179" s="43"/>
      <c r="GL179" s="43"/>
      <c r="GM179" s="43"/>
      <c r="GN179" s="43"/>
      <c r="GO179" s="43"/>
      <c r="GP179" s="43"/>
      <c r="GQ179" s="43"/>
      <c r="GR179" s="43"/>
      <c r="GS179" s="43"/>
      <c r="GT179" s="43"/>
      <c r="GU179" s="43"/>
      <c r="GV179" s="43"/>
      <c r="GW179" s="43"/>
      <c r="GX179" s="43"/>
      <c r="GY179" s="43"/>
      <c r="GZ179" s="43"/>
      <c r="HA179" s="43"/>
      <c r="HB179" s="43"/>
      <c r="HC179" s="43"/>
      <c r="HD179" s="43"/>
      <c r="HE179" s="43"/>
      <c r="HF179" s="43"/>
      <c r="HG179" s="43"/>
      <c r="HH179" s="43"/>
      <c r="HI179" s="43"/>
      <c r="HJ179" s="43"/>
      <c r="HK179" s="43"/>
      <c r="HL179" s="43"/>
      <c r="HM179" s="43"/>
      <c r="HN179" s="43"/>
      <c r="HO179" s="43"/>
      <c r="HP179" s="43"/>
      <c r="HQ179" s="43"/>
      <c r="HR179" s="43"/>
      <c r="HS179" s="43"/>
      <c r="HT179" s="43"/>
      <c r="HU179" s="43"/>
      <c r="HV179" s="43"/>
      <c r="HW179" s="43"/>
      <c r="HX179" s="43"/>
      <c r="HY179" s="43"/>
      <c r="HZ179" s="43"/>
      <c r="IA179" s="43"/>
      <c r="IB179" s="43"/>
      <c r="IC179" s="43"/>
      <c r="ID179" s="43"/>
      <c r="IE179" s="43"/>
      <c r="IF179" s="43"/>
      <c r="IG179" s="43"/>
      <c r="IH179" s="43"/>
      <c r="II179" s="43"/>
      <c r="IJ179" s="43"/>
      <c r="IK179" s="43"/>
      <c r="IL179" s="43"/>
      <c r="IM179" s="43"/>
      <c r="IN179" s="43"/>
      <c r="IO179" s="43"/>
      <c r="IP179" s="43"/>
      <c r="IQ179" s="43"/>
      <c r="IR179" s="43"/>
      <c r="IS179" s="43"/>
      <c r="IT179" s="43"/>
    </row>
    <row r="180" spans="1:254" ht="14.25" customHeight="1" thickBot="1">
      <c r="A180" s="43"/>
      <c r="B180" s="43"/>
      <c r="C180" s="161"/>
      <c r="D180" s="161"/>
      <c r="E180" s="161"/>
      <c r="F180" s="189" t="s">
        <v>519</v>
      </c>
      <c r="G180" s="217"/>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43"/>
      <c r="DK180" s="43"/>
      <c r="DL180" s="43"/>
      <c r="DM180" s="43"/>
      <c r="DN180" s="43"/>
      <c r="DO180" s="43"/>
      <c r="DP180" s="43"/>
      <c r="DQ180" s="43"/>
      <c r="DR180" s="43"/>
      <c r="DS180" s="43"/>
      <c r="DT180" s="43"/>
      <c r="DU180" s="43"/>
      <c r="DV180" s="43"/>
      <c r="DW180" s="43"/>
      <c r="DX180" s="43"/>
      <c r="DY180" s="43"/>
      <c r="DZ180" s="43"/>
      <c r="EA180" s="43"/>
      <c r="EB180" s="43"/>
      <c r="EC180" s="43"/>
      <c r="ED180" s="43"/>
      <c r="EE180" s="43"/>
      <c r="EF180" s="43"/>
      <c r="EG180" s="43"/>
      <c r="EH180" s="43"/>
      <c r="EI180" s="43"/>
      <c r="EJ180" s="43"/>
      <c r="EK180" s="43"/>
      <c r="EL180" s="43"/>
      <c r="EM180" s="43"/>
      <c r="EN180" s="43"/>
      <c r="EO180" s="43"/>
      <c r="EP180" s="43"/>
      <c r="EQ180" s="43"/>
      <c r="ER180" s="43"/>
      <c r="ES180" s="43"/>
      <c r="ET180" s="43"/>
      <c r="EU180" s="43"/>
      <c r="EV180" s="43"/>
      <c r="EW180" s="43"/>
      <c r="EX180" s="43"/>
      <c r="EY180" s="43"/>
      <c r="EZ180" s="43"/>
      <c r="FA180" s="43"/>
      <c r="FB180" s="43"/>
      <c r="FC180" s="43"/>
      <c r="FD180" s="43"/>
      <c r="FE180" s="43"/>
      <c r="FF180" s="43"/>
      <c r="FG180" s="43"/>
      <c r="FH180" s="43"/>
      <c r="FI180" s="43"/>
      <c r="FJ180" s="43"/>
      <c r="FK180" s="43"/>
      <c r="FL180" s="43"/>
      <c r="FM180" s="43"/>
      <c r="FN180" s="43"/>
      <c r="FO180" s="43"/>
      <c r="FP180" s="43"/>
      <c r="FQ180" s="43"/>
      <c r="FR180" s="43"/>
      <c r="FS180" s="43"/>
      <c r="FT180" s="43"/>
      <c r="FU180" s="43"/>
      <c r="FV180" s="43"/>
      <c r="FW180" s="43"/>
      <c r="FX180" s="43"/>
      <c r="FY180" s="43"/>
      <c r="FZ180" s="43"/>
      <c r="GA180" s="43"/>
      <c r="GB180" s="43"/>
      <c r="GC180" s="43"/>
      <c r="GD180" s="43"/>
      <c r="GE180" s="43"/>
      <c r="GF180" s="43"/>
      <c r="GG180" s="43"/>
      <c r="GH180" s="43"/>
      <c r="GI180" s="43"/>
      <c r="GJ180" s="43"/>
      <c r="GK180" s="43"/>
      <c r="GL180" s="43"/>
      <c r="GM180" s="43"/>
      <c r="GN180" s="43"/>
      <c r="GO180" s="43"/>
      <c r="GP180" s="43"/>
      <c r="GQ180" s="43"/>
      <c r="GR180" s="43"/>
      <c r="GS180" s="43"/>
      <c r="GT180" s="43"/>
      <c r="GU180" s="43"/>
      <c r="GV180" s="43"/>
      <c r="GW180" s="43"/>
      <c r="GX180" s="43"/>
      <c r="GY180" s="43"/>
      <c r="GZ180" s="43"/>
      <c r="HA180" s="43"/>
      <c r="HB180" s="43"/>
      <c r="HC180" s="43"/>
      <c r="HD180" s="43"/>
      <c r="HE180" s="43"/>
      <c r="HF180" s="43"/>
      <c r="HG180" s="43"/>
      <c r="HH180" s="43"/>
      <c r="HI180" s="43"/>
      <c r="HJ180" s="43"/>
      <c r="HK180" s="43"/>
      <c r="HL180" s="43"/>
      <c r="HM180" s="43"/>
      <c r="HN180" s="43"/>
      <c r="HO180" s="43"/>
      <c r="HP180" s="43"/>
      <c r="HQ180" s="43"/>
      <c r="HR180" s="43"/>
      <c r="HS180" s="43"/>
      <c r="HT180" s="43"/>
      <c r="HU180" s="43"/>
      <c r="HV180" s="43"/>
      <c r="HW180" s="43"/>
      <c r="HX180" s="43"/>
      <c r="HY180" s="43"/>
      <c r="HZ180" s="43"/>
      <c r="IA180" s="43"/>
      <c r="IB180" s="43"/>
      <c r="IC180" s="43"/>
      <c r="ID180" s="43"/>
      <c r="IE180" s="43"/>
      <c r="IF180" s="43"/>
      <c r="IG180" s="43"/>
      <c r="IH180" s="43"/>
      <c r="II180" s="43"/>
      <c r="IJ180" s="43"/>
      <c r="IK180" s="43"/>
      <c r="IL180" s="43"/>
      <c r="IM180" s="43"/>
      <c r="IN180" s="43"/>
      <c r="IO180" s="43"/>
      <c r="IP180" s="43"/>
      <c r="IQ180" s="43"/>
      <c r="IR180" s="43"/>
      <c r="IS180" s="43"/>
      <c r="IT180" s="43"/>
    </row>
    <row r="181" spans="1:254" ht="16.5" customHeight="1" thickBot="1">
      <c r="A181" s="43"/>
      <c r="B181" s="43"/>
      <c r="C181" s="161"/>
      <c r="D181" s="161"/>
      <c r="E181" s="161"/>
      <c r="F181" s="218"/>
      <c r="G181" s="219">
        <f>+G172+G178</f>
        <v>219999850.23000073</v>
      </c>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43"/>
      <c r="DK181" s="43"/>
      <c r="DL181" s="43"/>
      <c r="DM181" s="43"/>
      <c r="DN181" s="43"/>
      <c r="DO181" s="43"/>
      <c r="DP181" s="43"/>
      <c r="DQ181" s="43"/>
      <c r="DR181" s="43"/>
      <c r="DS181" s="43"/>
      <c r="DT181" s="43"/>
      <c r="DU181" s="43"/>
      <c r="DV181" s="43"/>
      <c r="DW181" s="43"/>
      <c r="DX181" s="43"/>
      <c r="DY181" s="43"/>
      <c r="DZ181" s="43"/>
      <c r="EA181" s="43"/>
      <c r="EB181" s="43"/>
      <c r="EC181" s="43"/>
      <c r="ED181" s="43"/>
      <c r="EE181" s="43"/>
      <c r="EF181" s="43"/>
      <c r="EG181" s="43"/>
      <c r="EH181" s="43"/>
      <c r="EI181" s="43"/>
      <c r="EJ181" s="43"/>
      <c r="EK181" s="43"/>
      <c r="EL181" s="43"/>
      <c r="EM181" s="43"/>
      <c r="EN181" s="43"/>
      <c r="EO181" s="43"/>
      <c r="EP181" s="43"/>
      <c r="EQ181" s="43"/>
      <c r="ER181" s="43"/>
      <c r="ES181" s="43"/>
      <c r="ET181" s="43"/>
      <c r="EU181" s="43"/>
      <c r="EV181" s="43"/>
      <c r="EW181" s="43"/>
      <c r="EX181" s="43"/>
      <c r="EY181" s="43"/>
      <c r="EZ181" s="43"/>
      <c r="FA181" s="43"/>
      <c r="FB181" s="43"/>
      <c r="FC181" s="43"/>
      <c r="FD181" s="43"/>
      <c r="FE181" s="43"/>
      <c r="FF181" s="43"/>
      <c r="FG181" s="43"/>
      <c r="FH181" s="43"/>
      <c r="FI181" s="43"/>
      <c r="FJ181" s="43"/>
      <c r="FK181" s="43"/>
      <c r="FL181" s="43"/>
      <c r="FM181" s="43"/>
      <c r="FN181" s="43"/>
      <c r="FO181" s="43"/>
      <c r="FP181" s="43"/>
      <c r="FQ181" s="43"/>
      <c r="FR181" s="43"/>
      <c r="FS181" s="43"/>
      <c r="FT181" s="43"/>
      <c r="FU181" s="43"/>
      <c r="FV181" s="43"/>
      <c r="FW181" s="43"/>
      <c r="FX181" s="43"/>
      <c r="FY181" s="43"/>
      <c r="FZ181" s="43"/>
      <c r="GA181" s="43"/>
      <c r="GB181" s="43"/>
      <c r="GC181" s="43"/>
      <c r="GD181" s="43"/>
      <c r="GE181" s="43"/>
      <c r="GF181" s="43"/>
      <c r="GG181" s="43"/>
      <c r="GH181" s="43"/>
      <c r="GI181" s="43"/>
      <c r="GJ181" s="43"/>
      <c r="GK181" s="43"/>
      <c r="GL181" s="43"/>
      <c r="GM181" s="43"/>
      <c r="GN181" s="43"/>
      <c r="GO181" s="43"/>
      <c r="GP181" s="43"/>
      <c r="GQ181" s="43"/>
      <c r="GR181" s="43"/>
      <c r="GS181" s="43"/>
      <c r="GT181" s="43"/>
      <c r="GU181" s="43"/>
      <c r="GV181" s="43"/>
      <c r="GW181" s="43"/>
      <c r="GX181" s="43"/>
      <c r="GY181" s="43"/>
      <c r="GZ181" s="43"/>
      <c r="HA181" s="43"/>
      <c r="HB181" s="43"/>
      <c r="HC181" s="43"/>
      <c r="HD181" s="43"/>
      <c r="HE181" s="43"/>
      <c r="HF181" s="43"/>
      <c r="HG181" s="43"/>
      <c r="HH181" s="43"/>
      <c r="HI181" s="43"/>
      <c r="HJ181" s="43"/>
      <c r="HK181" s="43"/>
      <c r="HL181" s="43"/>
      <c r="HM181" s="43"/>
      <c r="HN181" s="43"/>
      <c r="HO181" s="43"/>
      <c r="HP181" s="43"/>
      <c r="HQ181" s="43"/>
      <c r="HR181" s="43"/>
      <c r="HS181" s="43"/>
      <c r="HT181" s="43"/>
      <c r="HU181" s="43"/>
      <c r="HV181" s="43"/>
      <c r="HW181" s="43"/>
      <c r="HX181" s="43"/>
      <c r="HY181" s="43"/>
      <c r="HZ181" s="43"/>
      <c r="IA181" s="43"/>
      <c r="IB181" s="43"/>
      <c r="IC181" s="43"/>
      <c r="ID181" s="43"/>
      <c r="IE181" s="43"/>
      <c r="IF181" s="43"/>
      <c r="IG181" s="43"/>
      <c r="IH181" s="43"/>
      <c r="II181" s="43"/>
      <c r="IJ181" s="43"/>
      <c r="IK181" s="43"/>
      <c r="IL181" s="43"/>
      <c r="IM181" s="43"/>
      <c r="IN181" s="43"/>
      <c r="IO181" s="43"/>
      <c r="IP181" s="43"/>
      <c r="IQ181" s="43"/>
      <c r="IR181" s="43"/>
      <c r="IS181" s="43"/>
      <c r="IT181" s="43"/>
    </row>
    <row r="182" spans="1:254" ht="13.7"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3"/>
      <c r="FW182" s="43"/>
      <c r="FX182" s="43"/>
      <c r="FY182" s="43"/>
      <c r="FZ182" s="43"/>
      <c r="GA182" s="43"/>
      <c r="GB182" s="43"/>
      <c r="GC182" s="43"/>
      <c r="GD182" s="43"/>
      <c r="GE182" s="43"/>
      <c r="GF182" s="43"/>
      <c r="GG182" s="43"/>
      <c r="GH182" s="43"/>
      <c r="GI182" s="43"/>
      <c r="GJ182" s="43"/>
      <c r="GK182" s="43"/>
      <c r="GL182" s="43"/>
      <c r="GM182" s="43"/>
      <c r="GN182" s="43"/>
      <c r="GO182" s="43"/>
      <c r="GP182" s="43"/>
      <c r="GQ182" s="43"/>
      <c r="GR182" s="43"/>
      <c r="GS182" s="43"/>
      <c r="GT182" s="43"/>
      <c r="GU182" s="43"/>
      <c r="GV182" s="43"/>
      <c r="GW182" s="43"/>
      <c r="GX182" s="43"/>
      <c r="GY182" s="43"/>
      <c r="GZ182" s="43"/>
      <c r="HA182" s="43"/>
      <c r="HB182" s="43"/>
      <c r="HC182" s="43"/>
      <c r="HD182" s="43"/>
      <c r="HE182" s="43"/>
      <c r="HF182" s="43"/>
      <c r="HG182" s="43"/>
      <c r="HH182" s="43"/>
      <c r="HI182" s="43"/>
      <c r="HJ182" s="43"/>
      <c r="HK182" s="43"/>
      <c r="HL182" s="43"/>
      <c r="HM182" s="43"/>
      <c r="HN182" s="43"/>
      <c r="HO182" s="43"/>
      <c r="HP182" s="43"/>
      <c r="HQ182" s="43"/>
      <c r="HR182" s="43"/>
      <c r="HS182" s="43"/>
      <c r="HT182" s="43"/>
      <c r="HU182" s="43"/>
      <c r="HV182" s="43"/>
      <c r="HW182" s="43"/>
      <c r="HX182" s="43"/>
      <c r="HY182" s="43"/>
      <c r="HZ182" s="43"/>
      <c r="IA182" s="43"/>
      <c r="IB182" s="43"/>
      <c r="IC182" s="43"/>
      <c r="ID182" s="43"/>
      <c r="IE182" s="43"/>
      <c r="IF182" s="43"/>
      <c r="IG182" s="43"/>
      <c r="IH182" s="43"/>
      <c r="II182" s="43"/>
      <c r="IJ182" s="43"/>
      <c r="IK182" s="43"/>
      <c r="IL182" s="43"/>
      <c r="IM182" s="43"/>
      <c r="IN182" s="43"/>
      <c r="IO182" s="43"/>
      <c r="IP182" s="43"/>
      <c r="IQ182" s="43"/>
      <c r="IR182" s="43"/>
      <c r="IS182" s="43"/>
      <c r="IT182" s="43"/>
    </row>
    <row r="183" spans="1:254" ht="13.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43"/>
      <c r="DK183" s="43"/>
      <c r="DL183" s="43"/>
      <c r="DM183" s="43"/>
      <c r="DN183" s="43"/>
      <c r="DO183" s="43"/>
      <c r="DP183" s="43"/>
      <c r="DQ183" s="43"/>
      <c r="DR183" s="43"/>
      <c r="DS183" s="43"/>
      <c r="DT183" s="43"/>
      <c r="DU183" s="43"/>
      <c r="DV183" s="43"/>
      <c r="DW183" s="43"/>
      <c r="DX183" s="43"/>
      <c r="DY183" s="43"/>
      <c r="DZ183" s="43"/>
      <c r="EA183" s="43"/>
      <c r="EB183" s="43"/>
      <c r="EC183" s="43"/>
      <c r="ED183" s="43"/>
      <c r="EE183" s="43"/>
      <c r="EF183" s="43"/>
      <c r="EG183" s="43"/>
      <c r="EH183" s="43"/>
      <c r="EI183" s="43"/>
      <c r="EJ183" s="43"/>
      <c r="EK183" s="43"/>
      <c r="EL183" s="43"/>
      <c r="EM183" s="43"/>
      <c r="EN183" s="43"/>
      <c r="EO183" s="43"/>
      <c r="EP183" s="43"/>
      <c r="EQ183" s="43"/>
      <c r="ER183" s="43"/>
      <c r="ES183" s="43"/>
      <c r="ET183" s="43"/>
      <c r="EU183" s="43"/>
      <c r="EV183" s="43"/>
      <c r="EW183" s="43"/>
      <c r="EX183" s="43"/>
      <c r="EY183" s="43"/>
      <c r="EZ183" s="43"/>
      <c r="FA183" s="43"/>
      <c r="FB183" s="43"/>
      <c r="FC183" s="43"/>
      <c r="FD183" s="43"/>
      <c r="FE183" s="43"/>
      <c r="FF183" s="43"/>
      <c r="FG183" s="43"/>
      <c r="FH183" s="43"/>
      <c r="FI183" s="43"/>
      <c r="FJ183" s="43"/>
      <c r="FK183" s="43"/>
      <c r="FL183" s="43"/>
      <c r="FM183" s="43"/>
      <c r="FN183" s="43"/>
      <c r="FO183" s="43"/>
      <c r="FP183" s="43"/>
      <c r="FQ183" s="43"/>
      <c r="FR183" s="43"/>
      <c r="FS183" s="43"/>
      <c r="FT183" s="43"/>
      <c r="FU183" s="43"/>
      <c r="FV183" s="43"/>
      <c r="FW183" s="43"/>
      <c r="FX183" s="43"/>
      <c r="FY183" s="43"/>
      <c r="FZ183" s="43"/>
      <c r="GA183" s="43"/>
      <c r="GB183" s="43"/>
      <c r="GC183" s="43"/>
      <c r="GD183" s="43"/>
      <c r="GE183" s="43"/>
      <c r="GF183" s="43"/>
      <c r="GG183" s="43"/>
      <c r="GH183" s="43"/>
      <c r="GI183" s="43"/>
      <c r="GJ183" s="43"/>
      <c r="GK183" s="43"/>
      <c r="GL183" s="43"/>
      <c r="GM183" s="43"/>
      <c r="GN183" s="43"/>
      <c r="GO183" s="43"/>
      <c r="GP183" s="43"/>
      <c r="GQ183" s="43"/>
      <c r="GR183" s="43"/>
      <c r="GS183" s="43"/>
      <c r="GT183" s="43"/>
      <c r="GU183" s="43"/>
      <c r="GV183" s="43"/>
      <c r="GW183" s="43"/>
      <c r="GX183" s="43"/>
      <c r="GY183" s="43"/>
      <c r="GZ183" s="43"/>
      <c r="HA183" s="43"/>
      <c r="HB183" s="43"/>
      <c r="HC183" s="43"/>
      <c r="HD183" s="43"/>
      <c r="HE183" s="43"/>
      <c r="HF183" s="43"/>
      <c r="HG183" s="43"/>
      <c r="HH183" s="43"/>
      <c r="HI183" s="43"/>
      <c r="HJ183" s="43"/>
      <c r="HK183" s="43"/>
      <c r="HL183" s="43"/>
      <c r="HM183" s="43"/>
      <c r="HN183" s="43"/>
      <c r="HO183" s="43"/>
      <c r="HP183" s="43"/>
      <c r="HQ183" s="43"/>
      <c r="HR183" s="43"/>
      <c r="HS183" s="43"/>
      <c r="HT183" s="43"/>
      <c r="HU183" s="43"/>
      <c r="HV183" s="43"/>
      <c r="HW183" s="43"/>
      <c r="HX183" s="43"/>
      <c r="HY183" s="43"/>
      <c r="HZ183" s="43"/>
      <c r="IA183" s="43"/>
      <c r="IB183" s="43"/>
      <c r="IC183" s="43"/>
      <c r="ID183" s="43"/>
      <c r="IE183" s="43"/>
      <c r="IF183" s="43"/>
      <c r="IG183" s="43"/>
      <c r="IH183" s="43"/>
      <c r="II183" s="43"/>
      <c r="IJ183" s="43"/>
      <c r="IK183" s="43"/>
      <c r="IL183" s="43"/>
      <c r="IM183" s="43"/>
      <c r="IN183" s="43"/>
      <c r="IO183" s="43"/>
      <c r="IP183" s="43"/>
      <c r="IQ183" s="43"/>
      <c r="IR183" s="43"/>
      <c r="IS183" s="43"/>
      <c r="IT183" s="43"/>
    </row>
    <row r="184" spans="1:254" ht="13.7" customHeight="1">
      <c r="A184" s="43"/>
      <c r="B184" s="43"/>
      <c r="C184" s="43"/>
      <c r="D184" s="43"/>
      <c r="E184" s="62"/>
      <c r="F184" s="46"/>
      <c r="G184" s="46"/>
      <c r="H184" s="62"/>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43"/>
      <c r="DK184" s="43"/>
      <c r="DL184" s="43"/>
      <c r="DM184" s="43"/>
      <c r="DN184" s="43"/>
      <c r="DO184" s="43"/>
      <c r="DP184" s="43"/>
      <c r="DQ184" s="43"/>
      <c r="DR184" s="43"/>
      <c r="DS184" s="43"/>
      <c r="DT184" s="43"/>
      <c r="DU184" s="43"/>
      <c r="DV184" s="43"/>
      <c r="DW184" s="43"/>
      <c r="DX184" s="43"/>
      <c r="DY184" s="43"/>
      <c r="DZ184" s="43"/>
      <c r="EA184" s="43"/>
      <c r="EB184" s="43"/>
      <c r="EC184" s="43"/>
      <c r="ED184" s="43"/>
      <c r="EE184" s="43"/>
      <c r="EF184" s="43"/>
      <c r="EG184" s="43"/>
      <c r="EH184" s="43"/>
      <c r="EI184" s="43"/>
      <c r="EJ184" s="43"/>
      <c r="EK184" s="43"/>
      <c r="EL184" s="43"/>
      <c r="EM184" s="43"/>
      <c r="EN184" s="43"/>
      <c r="EO184" s="43"/>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3"/>
      <c r="HF184" s="43"/>
      <c r="HG184" s="43"/>
      <c r="HH184" s="43"/>
      <c r="HI184" s="43"/>
      <c r="HJ184" s="43"/>
      <c r="HK184" s="43"/>
      <c r="HL184" s="43"/>
      <c r="HM184" s="43"/>
      <c r="HN184" s="43"/>
      <c r="HO184" s="43"/>
      <c r="HP184" s="43"/>
      <c r="HQ184" s="43"/>
      <c r="HR184" s="43"/>
      <c r="HS184" s="43"/>
      <c r="HT184" s="43"/>
      <c r="HU184" s="43"/>
      <c r="HV184" s="43"/>
      <c r="HW184" s="43"/>
      <c r="HX184" s="43"/>
      <c r="HY184" s="43"/>
      <c r="HZ184" s="43"/>
      <c r="IA184" s="43"/>
      <c r="IB184" s="43"/>
      <c r="IC184" s="43"/>
      <c r="ID184" s="43"/>
      <c r="IE184" s="43"/>
      <c r="IF184" s="43"/>
      <c r="IG184" s="43"/>
      <c r="IH184" s="43"/>
      <c r="II184" s="43"/>
      <c r="IJ184" s="43"/>
      <c r="IK184" s="43"/>
      <c r="IL184" s="43"/>
      <c r="IM184" s="43"/>
      <c r="IN184" s="43"/>
      <c r="IO184" s="43"/>
      <c r="IP184" s="43"/>
      <c r="IQ184" s="43"/>
      <c r="IR184" s="43"/>
      <c r="IS184" s="43"/>
      <c r="IT184" s="43"/>
    </row>
    <row r="185" spans="1:254" s="62" customFormat="1" ht="13.7" customHeight="1">
      <c r="A185" s="63"/>
      <c r="C185" s="46"/>
      <c r="D185" s="46"/>
      <c r="E185" s="54"/>
      <c r="F185" s="61"/>
      <c r="G185" s="61"/>
    </row>
    <row r="186" spans="1:254" s="62" customFormat="1">
      <c r="A186" s="63"/>
      <c r="C186" s="46"/>
      <c r="D186" s="46"/>
      <c r="E186" s="54"/>
      <c r="F186" s="61"/>
      <c r="G186" s="61"/>
    </row>
    <row r="187" spans="1:254" s="62" customFormat="1" hidden="1">
      <c r="A187" s="63"/>
      <c r="C187" s="46"/>
      <c r="D187" s="46"/>
      <c r="E187" s="54"/>
      <c r="F187" s="61"/>
      <c r="G187" s="61"/>
    </row>
    <row r="188" spans="1:254" s="62" customFormat="1" hidden="1">
      <c r="A188" s="63"/>
      <c r="C188" s="46"/>
      <c r="D188" s="46"/>
      <c r="E188" s="54"/>
      <c r="F188" s="61"/>
      <c r="G188" s="61"/>
    </row>
    <row r="189" spans="1:254" s="62" customFormat="1" hidden="1">
      <c r="A189" s="63"/>
      <c r="C189" s="46"/>
      <c r="D189" s="46"/>
      <c r="E189" s="54"/>
      <c r="F189" s="61"/>
      <c r="G189" s="61"/>
    </row>
    <row r="190" spans="1:254" s="62" customFormat="1" hidden="1">
      <c r="A190" s="63"/>
      <c r="C190" s="46"/>
      <c r="D190" s="46"/>
      <c r="E190" s="54"/>
      <c r="F190" s="61"/>
      <c r="G190" s="61"/>
    </row>
    <row r="191" spans="1:254" s="62" customFormat="1" hidden="1">
      <c r="A191" s="63"/>
      <c r="C191" s="46"/>
      <c r="D191" s="46"/>
      <c r="E191" s="54"/>
      <c r="F191" s="61"/>
      <c r="G191" s="61"/>
    </row>
    <row r="192" spans="1:254" s="62" customFormat="1" hidden="1">
      <c r="A192" s="63"/>
      <c r="C192" s="46"/>
      <c r="D192" s="46"/>
      <c r="E192" s="54"/>
      <c r="F192" s="61"/>
      <c r="G192" s="61"/>
    </row>
    <row r="193" spans="1:8" s="62" customFormat="1" hidden="1">
      <c r="A193" s="64"/>
      <c r="C193" s="46"/>
      <c r="D193" s="46"/>
      <c r="E193" s="54"/>
      <c r="F193" s="61"/>
      <c r="G193" s="61"/>
    </row>
    <row r="194" spans="1:8" s="62" customFormat="1" hidden="1">
      <c r="A194" s="64"/>
      <c r="C194" s="46"/>
      <c r="D194" s="46"/>
      <c r="E194" s="54"/>
      <c r="F194" s="61"/>
      <c r="G194" s="61"/>
    </row>
    <row r="195" spans="1:8" s="62" customFormat="1" hidden="1">
      <c r="A195" s="64"/>
      <c r="C195" s="46"/>
      <c r="D195" s="46"/>
      <c r="E195" s="54"/>
      <c r="F195" s="61"/>
      <c r="G195" s="61"/>
    </row>
    <row r="196" spans="1:8" s="62" customFormat="1" hidden="1">
      <c r="A196" s="64"/>
      <c r="C196" s="46"/>
      <c r="D196" s="46"/>
      <c r="E196" s="54"/>
      <c r="F196" s="61"/>
      <c r="G196" s="61"/>
    </row>
    <row r="197" spans="1:8" s="62" customFormat="1" hidden="1">
      <c r="A197" s="64"/>
      <c r="C197" s="46"/>
      <c r="D197" s="46"/>
      <c r="E197" s="54"/>
      <c r="F197" s="61"/>
      <c r="G197" s="61"/>
    </row>
    <row r="198" spans="1:8" s="62" customFormat="1" hidden="1">
      <c r="A198" s="64"/>
      <c r="C198" s="46"/>
      <c r="D198" s="46"/>
      <c r="E198" s="54"/>
      <c r="F198" s="61"/>
      <c r="G198" s="61"/>
    </row>
    <row r="199" spans="1:8" s="62" customFormat="1" hidden="1">
      <c r="A199" s="64"/>
      <c r="C199" s="46"/>
      <c r="D199" s="46"/>
      <c r="E199" s="54"/>
      <c r="F199" s="61"/>
      <c r="G199" s="61"/>
    </row>
    <row r="200" spans="1:8" s="62" customFormat="1" hidden="1">
      <c r="A200" s="64"/>
      <c r="C200" s="46"/>
      <c r="D200" s="46"/>
      <c r="E200" s="54"/>
      <c r="F200" s="61"/>
      <c r="G200" s="61"/>
    </row>
    <row r="201" spans="1:8" s="62" customFormat="1" hidden="1">
      <c r="A201" s="64"/>
      <c r="C201" s="46"/>
      <c r="D201" s="46"/>
      <c r="E201" s="54"/>
      <c r="F201" s="61"/>
      <c r="G201" s="61"/>
    </row>
    <row r="202" spans="1:8" hidden="1">
      <c r="B202" s="62"/>
      <c r="C202" s="46"/>
      <c r="D202" s="46"/>
      <c r="H202" s="43"/>
    </row>
    <row r="203" spans="1:8" hidden="1">
      <c r="B203" s="62"/>
      <c r="C203" s="46"/>
      <c r="D203" s="46"/>
      <c r="H203" s="43"/>
    </row>
    <row r="204" spans="1:8" hidden="1">
      <c r="B204" s="62"/>
      <c r="C204" s="46"/>
      <c r="D204" s="46"/>
      <c r="H204" s="43"/>
    </row>
    <row r="205" spans="1:8" hidden="1">
      <c r="B205" s="62"/>
      <c r="C205" s="46"/>
      <c r="D205" s="46"/>
      <c r="H205" s="43"/>
    </row>
    <row r="206" spans="1:8" hidden="1">
      <c r="B206" s="62"/>
      <c r="C206" s="46"/>
      <c r="D206" s="46"/>
      <c r="H206" s="43"/>
    </row>
  </sheetData>
  <mergeCells count="6">
    <mergeCell ref="C1:D1"/>
    <mergeCell ref="E1:F1"/>
    <mergeCell ref="C2:D2"/>
    <mergeCell ref="E2:F2"/>
    <mergeCell ref="C3:D3"/>
    <mergeCell ref="E3:F3"/>
  </mergeCells>
  <conditionalFormatting sqref="D13:D61">
    <cfRule type="cellIs" dxfId="432" priority="3" stopIfTrue="1" operator="between">
      <formula>-0.1</formula>
      <formula>-50</formula>
    </cfRule>
    <cfRule type="cellIs" dxfId="431" priority="4" stopIfTrue="1" operator="between">
      <formula>0.1</formula>
      <formula>50</formula>
    </cfRule>
  </conditionalFormatting>
  <conditionalFormatting sqref="G152:G181 G7:G150">
    <cfRule type="cellIs" dxfId="430" priority="5" stopIfTrue="1" operator="between">
      <formula>-0.1</formula>
      <formula>-50</formula>
    </cfRule>
    <cfRule type="cellIs" dxfId="429" priority="6" stopIfTrue="1" operator="between">
      <formula>0.1</formula>
      <formula>50</formula>
    </cfRule>
  </conditionalFormatting>
  <conditionalFormatting sqref="D111:D155">
    <cfRule type="cellIs" dxfId="428" priority="7" stopIfTrue="1" operator="between">
      <formula>-0.1</formula>
      <formula>-50</formula>
    </cfRule>
    <cfRule type="cellIs" dxfId="427" priority="8" stopIfTrue="1" operator="between">
      <formula>0.1</formula>
      <formula>50</formula>
    </cfRule>
  </conditionalFormatting>
  <conditionalFormatting sqref="G165">
    <cfRule type="expression" dxfId="426" priority="9" stopIfTrue="1">
      <formula>AND($G$165&gt;0,$G$151&gt;0)</formula>
    </cfRule>
  </conditionalFormatting>
  <conditionalFormatting sqref="G151">
    <cfRule type="expression" dxfId="425" priority="11" stopIfTrue="1">
      <formula>AND($G$151&gt;0,$G$165&gt;0)</formula>
    </cfRule>
  </conditionalFormatting>
  <dataValidations count="12">
    <dataValidation type="custom" operator="greaterThan" showInputMessage="1" showErrorMessage="1" errorTitle="RDM" error="No se admite ingresar RDM como ingresos y egresos a la vez. Tampoco se admiten valores menores a $50._x000a_" sqref="G151 G65687 G131223 G196759 G262295 G327831 G393367 G458903 G524439 G589975 G655511 G721047 G786583 G852119 G917655 G983191">
      <formula1>AND(OR(G151=0, G151&gt;50),G165=0)</formula1>
      <formula2>0</formula2>
    </dataValidation>
    <dataValidation type="whole" operator="greaterThan" allowBlank="1" showInputMessage="1" showErrorMessage="1" sqref="D8:D12 D65544:D65548 D131080:D131084 D196616:D196620 D262152:D262156 D327688:D327692 D393224:D393228 D458760:D458764 D524296:D524300 D589832:D589836 D655368:D655372 D720904:D720908 D786440:D786444 D851976:D851980 D917512:D917516 D983048:D983052">
      <formula1>50</formula1>
      <formula2>0</formula2>
    </dataValidation>
    <dataValidation type="whole" operator="greaterThan" showInputMessage="1" showErrorMessage="1" errorTitle="eee" error="Valores mayores a $50" sqref="D7 D65543 D131079 D196615 D262151 D327687 D393223 D458759 D524295 D589831 D655367 D720903 D786439 D851975 D917511 D983047">
      <formula1>50</formula1>
      <formula2>0</formula2>
    </dataValidation>
    <dataValidation type="custom" operator="greaterThan" showInputMessage="1" showErrorMessage="1" errorTitle="rdm2" error="No se admite ingresar a la vez RDM como ingresos y como egresos. Tampoco se admiten valores negattivos o positivos menores de 50" sqref="G983205 G917669 G852133 G786597 G721061 G655525 G589989 G524453 G458917 G393381 G327845 G262309 G196773 G131237 G65701 G165">
      <formula1>AND(OR(G165=0, G165&gt;50),G151=0)</formula1>
      <formula2>0</formula2>
    </dataValidation>
    <dataValidation type="custom" operator="greaterThan" showInputMessage="1" showErrorMessage="1" errorTitle="eee" sqref="D57:D61 D65593:D65597 D131129:D131133 D196665:D196669 D262201:D262205 D327737:D327741 D393273:D393277 D458809:D458813 D524345:D524349 D589881:D589885 D655417:D655421 D720953:D720957 D786489:D786493 D852025:D852029 D917561:D917565 D983097:D983101">
      <formula1>OR(C57=0, C57&lt;0)</formula1>
      <formula2>0</formula2>
    </dataValidation>
    <dataValidation type="whole" allowBlank="1" showErrorMessage="1" errorTitle="Error de datos" error="Debe ingresar un valor entre 1 y 12" sqref="G1:G3 G65537:G65539 G131073:G131075 G196609:G196611 G262145:G262147 G327681:G327683 G393217:G393219 G458753:G458755 G524289:G524291 G589825:G589827 G655361:G655363 G720897:G720899 G786433:G786435 G851969:G851971 G917505:G917507 G983041:G983043">
      <formula1>1</formula1>
      <formula2>12</formula2>
    </dataValidation>
    <dataValidation allowBlank="1" errorTitle="Error de datos" error="Debe introducir una fecha válida" sqref="E3 E65539 E131075 E196611 E262147 E327683 E393219 E458755 E524291 E589827 E655363 E720899 E786435 E851971 E917507 E983043">
      <formula1>0</formula1>
      <formula2>0</formula2>
    </dataValidation>
    <dataValidation type="custom" operator="greaterThan" showInputMessage="1" showErrorMessage="1" errorTitle="eee" sqref="D56 D65592 D131128 D196664 D262200 D327736 D393272 D458808 D524344 D589880 D655416 D720952 D786488 D852024 D917560 D983096">
      <formula1>OR(D56=0, D56&lt;50)</formula1>
      <formula2>0</formula2>
    </dataValidation>
    <dataValidation allowBlank="1" sqref="G204 G65740 G131276 G196812 G262348 G327884 G393420 G458956 G524492 G590028 G655564 G721100 G786636 G852172 G917708 G983244">
      <formula1>0</formula1>
      <formula2>0</formula2>
    </dataValidation>
    <dataValidation type="custom" operator="greaterThan" showInputMessage="1" showErrorMessage="1" errorTitle="eee" sqref="D13:D55 D65549:D65591 D131085:D131127 D196621:D196663 D262157:D262199 D327693:D327735 D393229:D393271 D458765:D458807 D524301:D524343 D589837:D589879 D655373:D655415 D720909:D720951 D786445:D786487 D851981:D852023 D917517:D917559 D983053:D983095 D62:D155 D65598:D65691 D131134:D131227 D196670:D196763 D262206:D262299 D327742:D327835 D393278:D393371 D458814:D458907 D524350:D524443 D589886:D589979 D655422:D655515 D720958:D721051 D786494:D786587 D852030:D852123 D917566:D917659 D983102:D983195">
      <formula1>OR(IT13=0, IT13&gt;50)</formula1>
      <formula2>0</formula2>
    </dataValidation>
    <dataValidation operator="greaterThanOrEqual" allowBlank="1" errorTitle="Error de datos" error="Debe ingresar un valor entero positivo" sqref="F6:F107 F65542:F65643 F131078:F131179 F196614:F196715 F262150:F262251 F327686:F327787 F393222:F393323 F458758:F458859 F524294:F524395 F589830:F589931 F655366:F655467 F720902:F721003 F786438:F786539 F851974:F852075 F917510:F917611 F983046:F983147 C7:C10 C65543:C65546 C131079:C131082 C196615:C196618 C262151:C262154 C327687:C327690 C393223:C393226 C458759:C458762 C524295:C524298 C589831:C589834 C655367:C655370 C720903:C720906 C786439:C786442 C851975:C851978 C917511:C917514 C983047:C983050 C13:C47 C65549:C65583 C131085:C131119 C196621:C196655 C262157:C262191 C327693:C327727 C393229:C393263 C458765:C458799 C524301:C524335 C589837:C589871 C655373:C655407 C720909:C720943 C786445:C786479 C851981:C852015 C917517:C917551 C983053:C983087 C49:C62 C65585:C65598 C131121:C131134 C196657:C196670 C262193:C262206 C327729:C327742 C393265:C393278 C458801:C458814 C524337:C524350 C589873:C589886 C655409:C655422 C720945:C720958 C786481:C786494 C852017:C852030 C917553:C917566 C983089:C983102 C106:C153 C65642:C65689 C131178:C131225 C196714:C196761 C262250:C262297 C327786:C327833 C393322:C393369 C458858:C458905 C524394:C524441 C589930:C589977 C655466:C655513 C721002:C721049 C786538:C786585 C852074:C852121 C917610:C917657 C983146:C983193 F109 F65645 F131181 F196717 F262253 F327789 F393325 F458861 F524397 F589933 F655469 F721005 F786541 F852077 F917613 F983149 F111:F119 F65647:F65655 F131183:F131191 F196719:F196727 F262255:F262263 F327791:F327799 F393327:F393335 F458863:F458871 F524399:F524407 F589935:F589943 F655471:F655479 F721007:F721015 F786543:F786551 F852079:F852087 F917615:F917623 F983151:F983159 F121:F140 F65657:F65676 F131193:F131212 F196729:F196748 F262265:F262284 F327801:F327820 F393337:F393356 F458873:F458892 F524409:F524428 F589945:F589964 F655481:F655500 F721017:F721036 F786553:F786572 F852089:F852108 F917625:F917644 F983161:F983180 F143:F169 F65679:F65705 F131215:F131241 F196751:F196777 F262287:F262313 F327823:F327849 F393359:F393385 F458895:F458921 F524431:F524457 F589967:F589993 F655503:F655529 F721039:F721065 F786575:F786601 F852111:F852137 F917647:F917673 F983183:F983209 C155 C65691 C131227 C196763 C262299 C327835 C393371 C458907 C524443 C589979 C655515 C721051 C786587 C852123 C917659 C983195 F171 F65707 F131243 F196779 F262315 F327851 F393387 F458923 F524459 F589995 F655531 F721067 F786603 F852139 F917675 F983211 F174:F178 F65710:F65714 F131246:F131250 F196782:F196786 F262318:F262322 F327854:F327858 F393390:F393394 F458926:F458930 F524462:F524466 F589998:F590002 F655534:F655538 F721070:F721074 F786606:F786610 F852142:F852146 F917678:F917682 F983214:F983218 F180 F65716 F131252 F196788 F262324 F327860 F393396 F458932 F524468 F590004 F655540 F721076 F786612 F852148 F917684 F983220 F203 F65739 F131275 F196811 F262347 F327883 F393419 F458955 F524491 F590027 F655563 F721099 F786635 F852171 F917707 F983243">
      <formula1>0</formula1>
      <formula2>0</formula2>
    </dataValidation>
    <dataValidation type="custom" operator="greaterThan" showInputMessage="1" showErrorMessage="1" errorTitle="eee" sqref="G65543:G65676 G131079:G131212 G196615:G196748 G262151:G262284 G327687:G327820 G393223:G393356 G458759:G458892 G524295:G524428 G589831:G589964 G655367:G655500 G720903:G721036 G786439:G786572 G851975:G852108 G917511:G917644 G983047:G983180 G144:G150 G65680:G65686 G131216:G131222 G196752:G196758 G262288:G262294 G327824:G327830 G393360:G393366 G458896:G458902 G524432:G524438 G589968:G589974 G655504:G655510 G721040:G721046 G786576:G786582 G852112:G852118 G917648:G917654 G983184:G983190 G152:G164 G65688:G65700 G131224:G131236 G196760:G196772 G262296:G262308 G327832:G327844 G393368:G393380 G458904:G458916 G524440:G524452 G589976:G589988 G655512:G655524 G721048:G721060 G786584:G786596 G852120:G852132 G917656:G917668 G983192:G983204 G166:G181 G65702:G65717 G131238:G131253 G196774:G196789 G262310:G262325 G327846:G327861 G393382:G393397 G458918:G458933 G524454:G524469 G589990:G590005 G655526:G655541 G721062:G721077 G786598:G786613 G852134:G852149 G917670:G917685 G983206:G983221 G7:G140">
      <formula1>OR(#REF!=0, #REF!&gt;50)</formula1>
      <formula2>0</formula2>
    </dataValidation>
  </dataValidations>
  <printOptions horizontalCentered="1"/>
  <pageMargins left="0.2361111111111111" right="0.2361111111111111" top="0.35416666666666669" bottom="0.74791666666666667" header="0.51180555555555551" footer="0.51180555555555551"/>
  <pageSetup paperSize="9" scale="54" firstPageNumber="0" fitToHeight="0" orientation="portrait" r:id="rId1"/>
  <headerFooter alignWithMargins="0"/>
  <rowBreaks count="3" manualBreakCount="3">
    <brk id="79" max="16383" man="1"/>
    <brk id="181" max="16383" man="1"/>
    <brk id="185" max="16383" man="1"/>
  </rowBreaks>
  <ignoredErrors>
    <ignoredError sqref="E7:E1048576" numberStoredAsText="1"/>
    <ignoredError sqref="G166 G144 D136 D116 G91:G93 G77 G49 D45 D26:D27 D33 G21:G23 G8:G15 D7:D8" unlockedFormula="1"/>
    <ignoredError sqref="G4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6"/>
  <sheetViews>
    <sheetView showGridLines="0" zoomScaleNormal="100" zoomScaleSheetLayoutView="100" workbookViewId="0">
      <selection activeCell="D182" sqref="D182"/>
    </sheetView>
  </sheetViews>
  <sheetFormatPr baseColWidth="10" defaultColWidth="0" defaultRowHeight="15.75" zeroHeight="1"/>
  <cols>
    <col min="1" max="1" width="3" style="1" customWidth="1"/>
    <col min="2" max="2" width="14.28515625" style="6" hidden="1" customWidth="1"/>
    <col min="3" max="3" width="56.7109375" style="19" customWidth="1"/>
    <col min="4" max="4" width="21" style="19" customWidth="1"/>
    <col min="5" max="5" width="3.85546875" style="13" customWidth="1"/>
    <col min="6" max="6" width="57.28515625" style="19" customWidth="1"/>
    <col min="7" max="7" width="21" style="19" customWidth="1"/>
    <col min="8" max="8" width="3.140625" style="4" customWidth="1"/>
    <col min="9" max="16384" width="0" style="4" hidden="1"/>
  </cols>
  <sheetData>
    <row r="1" spans="1:9">
      <c r="B1" s="2"/>
      <c r="C1" s="255" t="s">
        <v>0</v>
      </c>
      <c r="D1" s="258"/>
      <c r="E1" s="253" t="str">
        <f>[11]Presentacion!C3</f>
        <v>SMI</v>
      </c>
      <c r="F1" s="253"/>
      <c r="G1" s="136"/>
      <c r="H1" s="3"/>
    </row>
    <row r="2" spans="1:9">
      <c r="B2" s="5"/>
      <c r="C2" s="255" t="s">
        <v>1</v>
      </c>
      <c r="D2" s="258"/>
      <c r="E2" s="253" t="str">
        <f>[11]Presentacion!C4</f>
        <v>Montevideo</v>
      </c>
      <c r="F2" s="253"/>
      <c r="G2" s="136"/>
      <c r="H2" s="3"/>
    </row>
    <row r="3" spans="1:9">
      <c r="B3" s="5"/>
      <c r="C3" s="255" t="s">
        <v>2</v>
      </c>
      <c r="D3" s="255"/>
      <c r="E3" s="254" t="s">
        <v>3</v>
      </c>
      <c r="F3" s="254"/>
      <c r="G3" s="136"/>
      <c r="H3" s="3"/>
    </row>
    <row r="4" spans="1:9" ht="9.75" customHeight="1" thickBot="1">
      <c r="C4" s="65"/>
      <c r="D4" s="7"/>
      <c r="E4" s="8"/>
      <c r="F4" s="9"/>
      <c r="G4" s="10"/>
    </row>
    <row r="5" spans="1:9" ht="12.75" customHeight="1" thickBot="1">
      <c r="B5" s="11"/>
      <c r="C5" s="72" t="s">
        <v>4</v>
      </c>
      <c r="D5" s="73" t="s">
        <v>5</v>
      </c>
      <c r="E5" s="137"/>
      <c r="F5" s="72" t="s">
        <v>6</v>
      </c>
      <c r="G5" s="73" t="s">
        <v>5</v>
      </c>
      <c r="I5" s="12"/>
    </row>
    <row r="6" spans="1:9" ht="12.75" customHeight="1" thickBot="1">
      <c r="B6" s="11"/>
      <c r="C6" s="75" t="s">
        <v>7</v>
      </c>
      <c r="D6" s="76">
        <f>+[11]E.S.P.!D6</f>
        <v>2021</v>
      </c>
      <c r="E6" s="138"/>
      <c r="F6" s="75" t="s">
        <v>8</v>
      </c>
      <c r="G6" s="76">
        <f>+D6</f>
        <v>2021</v>
      </c>
      <c r="H6" s="12"/>
    </row>
    <row r="7" spans="1:9">
      <c r="B7" s="5" t="s">
        <v>9</v>
      </c>
      <c r="C7" s="78" t="s">
        <v>10</v>
      </c>
      <c r="D7" s="79">
        <v>114063692</v>
      </c>
      <c r="E7" s="138" t="s">
        <v>11</v>
      </c>
      <c r="F7" s="80" t="s">
        <v>12</v>
      </c>
      <c r="G7" s="81">
        <v>66633155</v>
      </c>
    </row>
    <row r="8" spans="1:9">
      <c r="B8" s="5" t="s">
        <v>13</v>
      </c>
      <c r="C8" s="78" t="s">
        <v>14</v>
      </c>
      <c r="D8" s="79">
        <v>13087984</v>
      </c>
      <c r="E8" s="138" t="s">
        <v>15</v>
      </c>
      <c r="F8" s="78" t="s">
        <v>16</v>
      </c>
      <c r="G8" s="82">
        <v>68817521</v>
      </c>
    </row>
    <row r="9" spans="1:9">
      <c r="B9" s="5" t="s">
        <v>17</v>
      </c>
      <c r="C9" s="78" t="s">
        <v>18</v>
      </c>
      <c r="D9" s="79">
        <v>3868365692</v>
      </c>
      <c r="E9" s="138" t="s">
        <v>19</v>
      </c>
      <c r="F9" s="78" t="s">
        <v>20</v>
      </c>
      <c r="G9" s="79">
        <v>212861761</v>
      </c>
    </row>
    <row r="10" spans="1:9">
      <c r="B10" s="5" t="s">
        <v>21</v>
      </c>
      <c r="C10" s="78" t="s">
        <v>22</v>
      </c>
      <c r="D10" s="79">
        <v>397402782</v>
      </c>
      <c r="E10" s="138" t="s">
        <v>23</v>
      </c>
      <c r="F10" s="78" t="s">
        <v>24</v>
      </c>
      <c r="G10" s="79">
        <v>518810052</v>
      </c>
    </row>
    <row r="11" spans="1:9">
      <c r="B11" s="5" t="s">
        <v>25</v>
      </c>
      <c r="C11" s="78" t="s">
        <v>26</v>
      </c>
      <c r="D11" s="79">
        <v>74850335</v>
      </c>
      <c r="E11" s="138" t="s">
        <v>27</v>
      </c>
      <c r="F11" s="78" t="s">
        <v>28</v>
      </c>
      <c r="G11" s="79">
        <v>451117858</v>
      </c>
    </row>
    <row r="12" spans="1:9">
      <c r="B12" s="5" t="s">
        <v>29</v>
      </c>
      <c r="C12" s="78" t="s">
        <v>30</v>
      </c>
      <c r="D12" s="79">
        <v>87018577</v>
      </c>
      <c r="E12" s="138" t="s">
        <v>31</v>
      </c>
      <c r="F12" s="78" t="s">
        <v>32</v>
      </c>
      <c r="G12" s="79">
        <v>177648499</v>
      </c>
    </row>
    <row r="13" spans="1:9">
      <c r="B13" s="5" t="s">
        <v>33</v>
      </c>
      <c r="C13" s="78" t="s">
        <v>34</v>
      </c>
      <c r="D13" s="79">
        <v>0</v>
      </c>
      <c r="E13" s="138" t="s">
        <v>35</v>
      </c>
      <c r="F13" s="78" t="s">
        <v>36</v>
      </c>
      <c r="G13" s="79">
        <v>102178617</v>
      </c>
    </row>
    <row r="14" spans="1:9">
      <c r="A14" s="14"/>
      <c r="B14" s="5" t="s">
        <v>37</v>
      </c>
      <c r="C14" s="78" t="s">
        <v>38</v>
      </c>
      <c r="D14" s="79">
        <v>1546298</v>
      </c>
      <c r="E14" s="138" t="s">
        <v>39</v>
      </c>
      <c r="F14" s="78" t="s">
        <v>40</v>
      </c>
      <c r="G14" s="79">
        <v>743726449</v>
      </c>
    </row>
    <row r="15" spans="1:9">
      <c r="B15" s="5" t="s">
        <v>41</v>
      </c>
      <c r="C15" s="83" t="s">
        <v>42</v>
      </c>
      <c r="D15" s="79">
        <v>0</v>
      </c>
      <c r="E15" s="138" t="s">
        <v>43</v>
      </c>
      <c r="F15" s="78" t="s">
        <v>44</v>
      </c>
      <c r="G15" s="79">
        <v>381268744</v>
      </c>
    </row>
    <row r="16" spans="1:9">
      <c r="B16" s="5" t="s">
        <v>45</v>
      </c>
      <c r="C16" s="78" t="s">
        <v>46</v>
      </c>
      <c r="D16" s="79">
        <v>0</v>
      </c>
      <c r="E16" s="138" t="s">
        <v>47</v>
      </c>
      <c r="F16" s="78" t="s">
        <v>48</v>
      </c>
      <c r="G16" s="79">
        <v>260321814</v>
      </c>
    </row>
    <row r="17" spans="1:7">
      <c r="B17" s="5" t="s">
        <v>49</v>
      </c>
      <c r="C17" s="78" t="s">
        <v>50</v>
      </c>
      <c r="D17" s="79">
        <v>0</v>
      </c>
      <c r="E17" s="138" t="s">
        <v>51</v>
      </c>
      <c r="F17" s="78" t="s">
        <v>52</v>
      </c>
      <c r="G17" s="79">
        <v>0</v>
      </c>
    </row>
    <row r="18" spans="1:7">
      <c r="A18" s="14"/>
      <c r="B18" s="5" t="s">
        <v>53</v>
      </c>
      <c r="C18" s="78" t="s">
        <v>54</v>
      </c>
      <c r="D18" s="79">
        <v>236963701</v>
      </c>
      <c r="E18" s="138" t="s">
        <v>55</v>
      </c>
      <c r="F18" s="78" t="s">
        <v>56</v>
      </c>
      <c r="G18" s="84">
        <v>104241101</v>
      </c>
    </row>
    <row r="19" spans="1:7" ht="16.5" thickBot="1">
      <c r="A19" s="14"/>
      <c r="B19" s="5" t="s">
        <v>57</v>
      </c>
      <c r="C19" s="78" t="s">
        <v>58</v>
      </c>
      <c r="D19" s="79">
        <v>167199734</v>
      </c>
      <c r="E19" s="138"/>
      <c r="F19" s="85" t="s">
        <v>59</v>
      </c>
      <c r="G19" s="86">
        <f>SUM(G7:G18)</f>
        <v>3087625571</v>
      </c>
    </row>
    <row r="20" spans="1:7" ht="16.5" thickBot="1">
      <c r="B20" s="5"/>
      <c r="C20" s="85" t="s">
        <v>60</v>
      </c>
      <c r="D20" s="86">
        <f>SUM(D7:D19)</f>
        <v>4960498795</v>
      </c>
      <c r="E20" s="138" t="s">
        <v>61</v>
      </c>
      <c r="F20" s="80" t="s">
        <v>62</v>
      </c>
      <c r="G20" s="81">
        <v>3768695</v>
      </c>
    </row>
    <row r="21" spans="1:7">
      <c r="B21" s="5"/>
      <c r="C21" s="87" t="s">
        <v>63</v>
      </c>
      <c r="D21" s="88">
        <f>SUM(D22:D28)</f>
        <v>48976537</v>
      </c>
      <c r="E21" s="138" t="s">
        <v>64</v>
      </c>
      <c r="F21" s="78" t="s">
        <v>65</v>
      </c>
      <c r="G21" s="79">
        <v>67331709</v>
      </c>
    </row>
    <row r="22" spans="1:7">
      <c r="B22" s="5" t="s">
        <v>66</v>
      </c>
      <c r="C22" s="78" t="s">
        <v>67</v>
      </c>
      <c r="D22" s="79">
        <v>33505401</v>
      </c>
      <c r="E22" s="138" t="s">
        <v>68</v>
      </c>
      <c r="F22" s="78" t="s">
        <v>69</v>
      </c>
      <c r="G22" s="79">
        <v>12372134</v>
      </c>
    </row>
    <row r="23" spans="1:7">
      <c r="B23" s="5" t="s">
        <v>70</v>
      </c>
      <c r="C23" s="78" t="s">
        <v>71</v>
      </c>
      <c r="D23" s="79">
        <v>2342427</v>
      </c>
      <c r="E23" s="138" t="s">
        <v>72</v>
      </c>
      <c r="F23" s="78" t="s">
        <v>73</v>
      </c>
      <c r="G23" s="79">
        <v>62360941</v>
      </c>
    </row>
    <row r="24" spans="1:7">
      <c r="B24" s="5" t="s">
        <v>74</v>
      </c>
      <c r="C24" s="78" t="s">
        <v>75</v>
      </c>
      <c r="D24" s="79">
        <v>7894250</v>
      </c>
      <c r="E24" s="138" t="s">
        <v>76</v>
      </c>
      <c r="F24" s="78" t="s">
        <v>77</v>
      </c>
      <c r="G24" s="79">
        <v>0</v>
      </c>
    </row>
    <row r="25" spans="1:7">
      <c r="B25" s="5" t="s">
        <v>78</v>
      </c>
      <c r="C25" s="78" t="s">
        <v>79</v>
      </c>
      <c r="D25" s="79">
        <v>628885</v>
      </c>
      <c r="E25" s="138" t="s">
        <v>80</v>
      </c>
      <c r="F25" s="78" t="s">
        <v>81</v>
      </c>
      <c r="G25" s="79">
        <v>25757135</v>
      </c>
    </row>
    <row r="26" spans="1:7">
      <c r="B26" s="5" t="s">
        <v>82</v>
      </c>
      <c r="C26" s="78" t="s">
        <v>83</v>
      </c>
      <c r="D26" s="79">
        <v>222284</v>
      </c>
      <c r="E26" s="138" t="s">
        <v>84</v>
      </c>
      <c r="F26" s="78" t="s">
        <v>85</v>
      </c>
      <c r="G26" s="84">
        <v>6110419</v>
      </c>
    </row>
    <row r="27" spans="1:7" ht="13.5" customHeight="1" thickBot="1">
      <c r="B27" s="5" t="s">
        <v>86</v>
      </c>
      <c r="C27" s="78" t="s">
        <v>87</v>
      </c>
      <c r="D27" s="79">
        <v>2856315</v>
      </c>
      <c r="E27" s="138"/>
      <c r="F27" s="85" t="s">
        <v>88</v>
      </c>
      <c r="G27" s="86">
        <f>SUM(G20:G26)</f>
        <v>177701033</v>
      </c>
    </row>
    <row r="28" spans="1:7">
      <c r="B28" s="5" t="s">
        <v>89</v>
      </c>
      <c r="C28" s="78" t="s">
        <v>90</v>
      </c>
      <c r="D28" s="79">
        <v>1526975</v>
      </c>
      <c r="E28" s="138" t="s">
        <v>91</v>
      </c>
      <c r="F28" s="80" t="s">
        <v>92</v>
      </c>
      <c r="G28" s="81">
        <v>102897268</v>
      </c>
    </row>
    <row r="29" spans="1:7">
      <c r="B29" s="5"/>
      <c r="C29" s="89" t="s">
        <v>93</v>
      </c>
      <c r="D29" s="88">
        <f>SUM(D30:D34)</f>
        <v>438527611</v>
      </c>
      <c r="E29" s="138" t="s">
        <v>94</v>
      </c>
      <c r="F29" s="78" t="s">
        <v>95</v>
      </c>
      <c r="G29" s="79">
        <v>117052671</v>
      </c>
    </row>
    <row r="30" spans="1:7">
      <c r="B30" s="5" t="s">
        <v>96</v>
      </c>
      <c r="C30" s="78" t="s">
        <v>97</v>
      </c>
      <c r="D30" s="79">
        <v>342411892</v>
      </c>
      <c r="E30" s="138" t="s">
        <v>98</v>
      </c>
      <c r="F30" s="78" t="s">
        <v>99</v>
      </c>
      <c r="G30" s="79">
        <v>55347855</v>
      </c>
    </row>
    <row r="31" spans="1:7">
      <c r="B31" s="5" t="s">
        <v>100</v>
      </c>
      <c r="C31" s="78" t="s">
        <v>101</v>
      </c>
      <c r="D31" s="79">
        <v>27952438</v>
      </c>
      <c r="E31" s="138" t="s">
        <v>102</v>
      </c>
      <c r="F31" s="78" t="s">
        <v>103</v>
      </c>
      <c r="G31" s="84">
        <v>9190086</v>
      </c>
    </row>
    <row r="32" spans="1:7" ht="16.5" thickBot="1">
      <c r="B32" s="5" t="s">
        <v>104</v>
      </c>
      <c r="C32" s="78" t="s">
        <v>105</v>
      </c>
      <c r="D32" s="79">
        <v>42261355</v>
      </c>
      <c r="E32" s="138"/>
      <c r="F32" s="85" t="s">
        <v>106</v>
      </c>
      <c r="G32" s="86">
        <f>SUM(G28:G31)</f>
        <v>284487880</v>
      </c>
    </row>
    <row r="33" spans="2:7">
      <c r="B33" s="5" t="s">
        <v>107</v>
      </c>
      <c r="C33" s="78" t="s">
        <v>108</v>
      </c>
      <c r="D33" s="79">
        <v>11664232</v>
      </c>
      <c r="E33" s="138"/>
      <c r="F33" s="89" t="s">
        <v>109</v>
      </c>
      <c r="G33" s="88">
        <f>SUM(G34:G39)</f>
        <v>373452078</v>
      </c>
    </row>
    <row r="34" spans="2:7">
      <c r="B34" s="5" t="s">
        <v>110</v>
      </c>
      <c r="C34" s="78" t="s">
        <v>111</v>
      </c>
      <c r="D34" s="79">
        <v>14237694</v>
      </c>
      <c r="E34" s="138" t="s">
        <v>112</v>
      </c>
      <c r="F34" s="78" t="s">
        <v>113</v>
      </c>
      <c r="G34" s="79">
        <v>22271432</v>
      </c>
    </row>
    <row r="35" spans="2:7" ht="16.5" thickBot="1">
      <c r="B35" s="5"/>
      <c r="C35" s="85" t="s">
        <v>114</v>
      </c>
      <c r="D35" s="86">
        <f>+D21+D29</f>
        <v>487504148</v>
      </c>
      <c r="E35" s="138" t="s">
        <v>115</v>
      </c>
      <c r="F35" s="78" t="s">
        <v>116</v>
      </c>
      <c r="G35" s="79">
        <v>34835277</v>
      </c>
    </row>
    <row r="36" spans="2:7">
      <c r="B36" s="5" t="s">
        <v>117</v>
      </c>
      <c r="C36" s="78" t="s">
        <v>118</v>
      </c>
      <c r="D36" s="79">
        <v>181731282</v>
      </c>
      <c r="E36" s="138" t="s">
        <v>119</v>
      </c>
      <c r="F36" s="78" t="s">
        <v>517</v>
      </c>
      <c r="G36" s="79">
        <v>7255159</v>
      </c>
    </row>
    <row r="37" spans="2:7">
      <c r="B37" s="5" t="s">
        <v>120</v>
      </c>
      <c r="C37" s="78" t="s">
        <v>121</v>
      </c>
      <c r="D37" s="79">
        <v>12113856</v>
      </c>
      <c r="E37" s="138" t="s">
        <v>122</v>
      </c>
      <c r="F37" s="78" t="s">
        <v>123</v>
      </c>
      <c r="G37" s="79">
        <v>28437146</v>
      </c>
    </row>
    <row r="38" spans="2:7">
      <c r="B38" s="5" t="s">
        <v>124</v>
      </c>
      <c r="C38" s="78" t="s">
        <v>125</v>
      </c>
      <c r="D38" s="79">
        <v>13893556</v>
      </c>
      <c r="E38" s="138" t="s">
        <v>126</v>
      </c>
      <c r="F38" s="78" t="s">
        <v>127</v>
      </c>
      <c r="G38" s="79">
        <v>59838321</v>
      </c>
    </row>
    <row r="39" spans="2:7">
      <c r="B39" s="5" t="s">
        <v>128</v>
      </c>
      <c r="C39" s="78" t="s">
        <v>129</v>
      </c>
      <c r="D39" s="79">
        <v>1690324</v>
      </c>
      <c r="E39" s="138" t="s">
        <v>130</v>
      </c>
      <c r="F39" s="78" t="s">
        <v>131</v>
      </c>
      <c r="G39" s="79">
        <v>220814743</v>
      </c>
    </row>
    <row r="40" spans="2:7">
      <c r="B40" s="5" t="s">
        <v>132</v>
      </c>
      <c r="C40" s="78" t="s">
        <v>133</v>
      </c>
      <c r="D40" s="79">
        <v>1933441</v>
      </c>
      <c r="E40" s="138"/>
      <c r="F40" s="90" t="s">
        <v>134</v>
      </c>
      <c r="G40" s="91">
        <f>SUM(G41:G46)</f>
        <v>155583245</v>
      </c>
    </row>
    <row r="41" spans="2:7">
      <c r="B41" s="5" t="s">
        <v>135</v>
      </c>
      <c r="C41" s="78" t="s">
        <v>136</v>
      </c>
      <c r="D41" s="79">
        <v>123711368</v>
      </c>
      <c r="E41" s="138" t="s">
        <v>137</v>
      </c>
      <c r="F41" s="78" t="s">
        <v>138</v>
      </c>
      <c r="G41" s="79">
        <v>35189975</v>
      </c>
    </row>
    <row r="42" spans="2:7">
      <c r="B42" s="5" t="s">
        <v>139</v>
      </c>
      <c r="C42" s="78" t="s">
        <v>140</v>
      </c>
      <c r="D42" s="79">
        <v>0</v>
      </c>
      <c r="E42" s="138" t="s">
        <v>141</v>
      </c>
      <c r="F42" s="78" t="s">
        <v>142</v>
      </c>
      <c r="G42" s="79">
        <v>443733</v>
      </c>
    </row>
    <row r="43" spans="2:7">
      <c r="B43" s="5" t="s">
        <v>143</v>
      </c>
      <c r="C43" s="78" t="s">
        <v>144</v>
      </c>
      <c r="D43" s="79">
        <v>8398435</v>
      </c>
      <c r="E43" s="138" t="s">
        <v>145</v>
      </c>
      <c r="F43" s="78" t="s">
        <v>146</v>
      </c>
      <c r="G43" s="79">
        <v>10296373</v>
      </c>
    </row>
    <row r="44" spans="2:7">
      <c r="B44" s="5" t="s">
        <v>147</v>
      </c>
      <c r="C44" s="78" t="s">
        <v>148</v>
      </c>
      <c r="D44" s="79">
        <v>0</v>
      </c>
      <c r="E44" s="138" t="s">
        <v>149</v>
      </c>
      <c r="F44" s="78" t="s">
        <v>150</v>
      </c>
      <c r="G44" s="79">
        <v>4826648</v>
      </c>
    </row>
    <row r="45" spans="2:7">
      <c r="B45" s="5" t="s">
        <v>151</v>
      </c>
      <c r="C45" s="78" t="s">
        <v>152</v>
      </c>
      <c r="D45" s="79">
        <v>0</v>
      </c>
      <c r="E45" s="138" t="s">
        <v>153</v>
      </c>
      <c r="F45" s="78" t="s">
        <v>154</v>
      </c>
      <c r="G45" s="79">
        <v>7051171</v>
      </c>
    </row>
    <row r="46" spans="2:7">
      <c r="B46" s="5" t="s">
        <v>155</v>
      </c>
      <c r="C46" s="78" t="s">
        <v>156</v>
      </c>
      <c r="D46" s="79">
        <v>10979849</v>
      </c>
      <c r="E46" s="138" t="s">
        <v>157</v>
      </c>
      <c r="F46" s="78" t="s">
        <v>158</v>
      </c>
      <c r="G46" s="79">
        <v>97775345</v>
      </c>
    </row>
    <row r="47" spans="2:7" ht="16.5" thickBot="1">
      <c r="B47" s="5"/>
      <c r="C47" s="85" t="s">
        <v>159</v>
      </c>
      <c r="D47" s="86">
        <f>SUM(D36:D46)</f>
        <v>354452111</v>
      </c>
      <c r="E47" s="138" t="s">
        <v>160</v>
      </c>
      <c r="F47" s="78" t="s">
        <v>161</v>
      </c>
      <c r="G47" s="84">
        <v>18041506</v>
      </c>
    </row>
    <row r="48" spans="2:7" ht="16.5" thickBot="1">
      <c r="B48" s="5"/>
      <c r="C48" s="92" t="s">
        <v>162</v>
      </c>
      <c r="D48" s="93"/>
      <c r="E48" s="138"/>
      <c r="F48" s="85" t="s">
        <v>163</v>
      </c>
      <c r="G48" s="94">
        <f>+G33+G40+G47</f>
        <v>547076829</v>
      </c>
    </row>
    <row r="49" spans="2:7">
      <c r="B49" s="5" t="s">
        <v>164</v>
      </c>
      <c r="C49" s="95" t="s">
        <v>165</v>
      </c>
      <c r="D49" s="96">
        <v>0</v>
      </c>
      <c r="E49" s="138" t="s">
        <v>166</v>
      </c>
      <c r="F49" s="80" t="s">
        <v>167</v>
      </c>
      <c r="G49" s="81">
        <v>94081707</v>
      </c>
    </row>
    <row r="50" spans="2:7">
      <c r="B50" s="5" t="s">
        <v>168</v>
      </c>
      <c r="C50" s="78" t="s">
        <v>162</v>
      </c>
      <c r="D50" s="79">
        <v>102476688</v>
      </c>
      <c r="E50" s="138" t="s">
        <v>169</v>
      </c>
      <c r="F50" s="78" t="s">
        <v>170</v>
      </c>
      <c r="G50" s="79">
        <v>209126729</v>
      </c>
    </row>
    <row r="51" spans="2:7">
      <c r="B51" s="5" t="s">
        <v>171</v>
      </c>
      <c r="C51" s="78" t="s">
        <v>172</v>
      </c>
      <c r="D51" s="84">
        <v>1286473</v>
      </c>
      <c r="E51" s="138" t="s">
        <v>173</v>
      </c>
      <c r="F51" s="78" t="s">
        <v>174</v>
      </c>
      <c r="G51" s="79">
        <v>25535592</v>
      </c>
    </row>
    <row r="52" spans="2:7" ht="16.5" thickBot="1">
      <c r="B52" s="11"/>
      <c r="C52" s="85" t="s">
        <v>175</v>
      </c>
      <c r="D52" s="86">
        <f>SUM(D49:D51)</f>
        <v>103763161</v>
      </c>
      <c r="E52" s="138" t="s">
        <v>176</v>
      </c>
      <c r="F52" s="78" t="s">
        <v>177</v>
      </c>
      <c r="G52" s="79">
        <v>0</v>
      </c>
    </row>
    <row r="53" spans="2:7" ht="16.5" thickBot="1">
      <c r="B53" s="5"/>
      <c r="C53" s="75" t="s">
        <v>178</v>
      </c>
      <c r="D53" s="97">
        <f>D20+D35+D47+D52</f>
        <v>5906218215</v>
      </c>
      <c r="E53" s="138" t="s">
        <v>179</v>
      </c>
      <c r="F53" s="78" t="s">
        <v>180</v>
      </c>
      <c r="G53" s="79">
        <v>37824275</v>
      </c>
    </row>
    <row r="54" spans="2:7">
      <c r="C54" s="98"/>
      <c r="D54" s="99"/>
      <c r="E54" s="138" t="s">
        <v>181</v>
      </c>
      <c r="F54" s="78" t="s">
        <v>182</v>
      </c>
      <c r="G54" s="79">
        <v>105263</v>
      </c>
    </row>
    <row r="55" spans="2:7">
      <c r="C55" s="100" t="s">
        <v>183</v>
      </c>
      <c r="D55" s="101"/>
      <c r="E55" s="138" t="s">
        <v>184</v>
      </c>
      <c r="F55" s="78" t="s">
        <v>185</v>
      </c>
      <c r="G55" s="79">
        <v>1891815</v>
      </c>
    </row>
    <row r="56" spans="2:7">
      <c r="B56" s="5" t="s">
        <v>186</v>
      </c>
      <c r="C56" s="102" t="s">
        <v>187</v>
      </c>
      <c r="D56" s="79"/>
      <c r="E56" s="138" t="s">
        <v>188</v>
      </c>
      <c r="F56" s="78" t="s">
        <v>189</v>
      </c>
      <c r="G56" s="84">
        <v>12431730</v>
      </c>
    </row>
    <row r="57" spans="2:7" ht="14.25" customHeight="1" thickBot="1">
      <c r="B57" s="5" t="s">
        <v>190</v>
      </c>
      <c r="C57" s="102" t="s">
        <v>191</v>
      </c>
      <c r="D57" s="79"/>
      <c r="E57" s="138"/>
      <c r="F57" s="85" t="s">
        <v>192</v>
      </c>
      <c r="G57" s="86">
        <f>SUM(G49:G56)</f>
        <v>380997111</v>
      </c>
    </row>
    <row r="58" spans="2:7">
      <c r="B58" s="5" t="s">
        <v>193</v>
      </c>
      <c r="C58" s="102" t="s">
        <v>194</v>
      </c>
      <c r="D58" s="79"/>
      <c r="E58" s="138" t="s">
        <v>195</v>
      </c>
      <c r="F58" s="80" t="s">
        <v>196</v>
      </c>
      <c r="G58" s="81">
        <v>193669329</v>
      </c>
    </row>
    <row r="59" spans="2:7">
      <c r="B59" s="5" t="s">
        <v>197</v>
      </c>
      <c r="C59" s="78" t="s">
        <v>198</v>
      </c>
      <c r="D59" s="84"/>
      <c r="E59" s="138" t="s">
        <v>199</v>
      </c>
      <c r="F59" s="78" t="s">
        <v>200</v>
      </c>
      <c r="G59" s="79">
        <v>45882597</v>
      </c>
    </row>
    <row r="60" spans="2:7" ht="16.5" thickBot="1">
      <c r="B60" s="5"/>
      <c r="C60" s="85" t="s">
        <v>201</v>
      </c>
      <c r="D60" s="86">
        <f>SUM(D56:D59)</f>
        <v>0</v>
      </c>
      <c r="E60" s="138" t="s">
        <v>202</v>
      </c>
      <c r="F60" s="78" t="s">
        <v>203</v>
      </c>
      <c r="G60" s="79">
        <v>0</v>
      </c>
    </row>
    <row r="61" spans="2:7" ht="16.5" thickBot="1">
      <c r="B61" s="15"/>
      <c r="C61" s="72" t="s">
        <v>204</v>
      </c>
      <c r="D61" s="103">
        <f>D53+D60</f>
        <v>5906218215</v>
      </c>
      <c r="E61" s="138" t="s">
        <v>205</v>
      </c>
      <c r="F61" s="78" t="s">
        <v>206</v>
      </c>
      <c r="G61" s="79">
        <v>0</v>
      </c>
    </row>
    <row r="62" spans="2:7">
      <c r="B62" s="16"/>
      <c r="C62" s="116"/>
      <c r="D62" s="116"/>
      <c r="E62" s="138" t="s">
        <v>207</v>
      </c>
      <c r="F62" s="78" t="s">
        <v>208</v>
      </c>
      <c r="G62" s="79">
        <v>0</v>
      </c>
    </row>
    <row r="63" spans="2:7">
      <c r="B63" s="17"/>
      <c r="C63" s="222" t="s">
        <v>8</v>
      </c>
      <c r="D63" s="222"/>
      <c r="E63" s="138" t="s">
        <v>209</v>
      </c>
      <c r="F63" s="78" t="s">
        <v>210</v>
      </c>
      <c r="G63" s="79">
        <v>152864339</v>
      </c>
    </row>
    <row r="64" spans="2:7">
      <c r="B64" s="18" t="s">
        <v>211</v>
      </c>
      <c r="C64" s="223" t="s">
        <v>212</v>
      </c>
      <c r="D64" s="223">
        <f>[11]Amortizaciones!D6</f>
        <v>59166700</v>
      </c>
      <c r="E64" s="138" t="s">
        <v>213</v>
      </c>
      <c r="F64" s="78" t="s">
        <v>214</v>
      </c>
      <c r="G64" s="79">
        <v>11233237</v>
      </c>
    </row>
    <row r="65" spans="2:7">
      <c r="B65" s="18" t="s">
        <v>215</v>
      </c>
      <c r="C65" s="223" t="s">
        <v>216</v>
      </c>
      <c r="D65" s="223">
        <f>[11]Amortizaciones!D7</f>
        <v>0</v>
      </c>
      <c r="E65" s="138" t="s">
        <v>217</v>
      </c>
      <c r="F65" s="78" t="s">
        <v>218</v>
      </c>
      <c r="G65" s="79">
        <v>28616338</v>
      </c>
    </row>
    <row r="66" spans="2:7">
      <c r="B66" s="18" t="s">
        <v>219</v>
      </c>
      <c r="C66" s="223" t="s">
        <v>220</v>
      </c>
      <c r="D66" s="223">
        <f>[11]Amortizaciones!D8</f>
        <v>15320777</v>
      </c>
      <c r="E66" s="138" t="s">
        <v>221</v>
      </c>
      <c r="F66" s="78" t="s">
        <v>222</v>
      </c>
      <c r="G66" s="79">
        <v>65746751</v>
      </c>
    </row>
    <row r="67" spans="2:7">
      <c r="B67" s="18" t="s">
        <v>223</v>
      </c>
      <c r="C67" s="223" t="s">
        <v>224</v>
      </c>
      <c r="D67" s="223">
        <f>[11]Amortizaciones!D9</f>
        <v>659476</v>
      </c>
      <c r="E67" s="138" t="s">
        <v>225</v>
      </c>
      <c r="F67" s="78" t="s">
        <v>226</v>
      </c>
      <c r="G67" s="79">
        <v>43262260</v>
      </c>
    </row>
    <row r="68" spans="2:7">
      <c r="B68" s="18" t="s">
        <v>227</v>
      </c>
      <c r="C68" s="223" t="s">
        <v>228</v>
      </c>
      <c r="D68" s="223">
        <f>[11]Amortizaciones!D10</f>
        <v>2576737</v>
      </c>
      <c r="E68" s="138" t="s">
        <v>229</v>
      </c>
      <c r="F68" s="78" t="s">
        <v>230</v>
      </c>
      <c r="G68" s="79">
        <v>0</v>
      </c>
    </row>
    <row r="69" spans="2:7">
      <c r="B69" s="18" t="s">
        <v>231</v>
      </c>
      <c r="C69" s="223" t="s">
        <v>232</v>
      </c>
      <c r="D69" s="223">
        <f>[11]Amortizaciones!D11</f>
        <v>1771150</v>
      </c>
      <c r="E69" s="138" t="s">
        <v>233</v>
      </c>
      <c r="F69" s="78" t="s">
        <v>234</v>
      </c>
      <c r="G69" s="79">
        <v>7861869</v>
      </c>
    </row>
    <row r="70" spans="2:7">
      <c r="B70" s="18" t="s">
        <v>235</v>
      </c>
      <c r="C70" s="223" t="s">
        <v>236</v>
      </c>
      <c r="D70" s="223">
        <f>[11]Amortizaciones!D12</f>
        <v>0</v>
      </c>
      <c r="E70" s="138" t="s">
        <v>237</v>
      </c>
      <c r="F70" s="78" t="s">
        <v>238</v>
      </c>
      <c r="G70" s="79">
        <v>9668210</v>
      </c>
    </row>
    <row r="71" spans="2:7">
      <c r="B71" s="18" t="s">
        <v>239</v>
      </c>
      <c r="C71" s="223" t="s">
        <v>240</v>
      </c>
      <c r="D71" s="223">
        <f>[11]Amortizaciones!D13</f>
        <v>0</v>
      </c>
      <c r="E71" s="138" t="s">
        <v>241</v>
      </c>
      <c r="F71" s="78" t="s">
        <v>242</v>
      </c>
      <c r="G71" s="79">
        <v>0</v>
      </c>
    </row>
    <row r="72" spans="2:7">
      <c r="B72" s="18" t="s">
        <v>243</v>
      </c>
      <c r="C72" s="223" t="s">
        <v>244</v>
      </c>
      <c r="D72" s="223">
        <f>[11]Amortizaciones!D14</f>
        <v>6075338</v>
      </c>
      <c r="E72" s="138" t="s">
        <v>245</v>
      </c>
      <c r="F72" s="78" t="s">
        <v>246</v>
      </c>
      <c r="G72" s="79">
        <v>0</v>
      </c>
    </row>
    <row r="73" spans="2:7">
      <c r="B73" s="18" t="s">
        <v>247</v>
      </c>
      <c r="C73" s="223" t="s">
        <v>248</v>
      </c>
      <c r="D73" s="223">
        <f>[11]Amortizaciones!D15</f>
        <v>152799</v>
      </c>
      <c r="E73" s="138" t="s">
        <v>249</v>
      </c>
      <c r="F73" s="78" t="s">
        <v>250</v>
      </c>
      <c r="G73" s="79">
        <v>7763758</v>
      </c>
    </row>
    <row r="74" spans="2:7">
      <c r="B74" s="18" t="s">
        <v>251</v>
      </c>
      <c r="C74" s="223" t="s">
        <v>252</v>
      </c>
      <c r="D74" s="223">
        <f>[11]Amortizaciones!D16</f>
        <v>0</v>
      </c>
      <c r="E74" s="138" t="s">
        <v>253</v>
      </c>
      <c r="F74" s="78" t="s">
        <v>254</v>
      </c>
      <c r="G74" s="79">
        <v>23454628</v>
      </c>
    </row>
    <row r="75" spans="2:7">
      <c r="B75" s="18" t="s">
        <v>255</v>
      </c>
      <c r="C75" s="223" t="s">
        <v>256</v>
      </c>
      <c r="D75" s="223">
        <f>[11]Amortizaciones!D17</f>
        <v>0</v>
      </c>
      <c r="E75" s="138" t="s">
        <v>257</v>
      </c>
      <c r="F75" s="78" t="s">
        <v>258</v>
      </c>
      <c r="G75" s="79">
        <v>12280925</v>
      </c>
    </row>
    <row r="76" spans="2:7">
      <c r="B76" s="18" t="s">
        <v>259</v>
      </c>
      <c r="C76" s="223" t="s">
        <v>260</v>
      </c>
      <c r="D76" s="223">
        <f>[11]Amortizaciones!D18</f>
        <v>0</v>
      </c>
      <c r="E76" s="138" t="s">
        <v>261</v>
      </c>
      <c r="F76" s="78" t="s">
        <v>262</v>
      </c>
      <c r="G76" s="79">
        <v>90067188</v>
      </c>
    </row>
    <row r="77" spans="2:7">
      <c r="B77" s="18" t="s">
        <v>263</v>
      </c>
      <c r="C77" s="223" t="s">
        <v>264</v>
      </c>
      <c r="D77" s="223">
        <f>SUM(D64:D76)</f>
        <v>85722977</v>
      </c>
      <c r="E77" s="138" t="s">
        <v>265</v>
      </c>
      <c r="F77" s="78" t="s">
        <v>266</v>
      </c>
      <c r="G77" s="79">
        <v>161069076</v>
      </c>
    </row>
    <row r="78" spans="2:7">
      <c r="B78" s="18"/>
      <c r="C78" s="223"/>
      <c r="D78" s="223"/>
      <c r="E78" s="138" t="s">
        <v>267</v>
      </c>
      <c r="F78" s="78" t="s">
        <v>268</v>
      </c>
      <c r="G78" s="84">
        <v>28221817</v>
      </c>
    </row>
    <row r="79" spans="2:7" ht="16.5" thickBot="1">
      <c r="B79" s="18"/>
      <c r="C79" s="222" t="s">
        <v>269</v>
      </c>
      <c r="D79" s="224"/>
      <c r="E79" s="138"/>
      <c r="F79" s="85" t="s">
        <v>270</v>
      </c>
      <c r="G79" s="86">
        <f>SUM(G58:G78)</f>
        <v>881662322</v>
      </c>
    </row>
    <row r="80" spans="2:7">
      <c r="B80" s="18" t="s">
        <v>271</v>
      </c>
      <c r="C80" s="223" t="s">
        <v>236</v>
      </c>
      <c r="D80" s="223">
        <f>[11]Amortizaciones!D22</f>
        <v>4822551</v>
      </c>
      <c r="E80" s="138" t="s">
        <v>272</v>
      </c>
      <c r="F80" s="80" t="s">
        <v>273</v>
      </c>
      <c r="G80" s="81">
        <v>0</v>
      </c>
    </row>
    <row r="81" spans="2:7">
      <c r="B81" s="18" t="s">
        <v>274</v>
      </c>
      <c r="C81" s="223" t="s">
        <v>240</v>
      </c>
      <c r="D81" s="223">
        <f>[11]Amortizaciones!D23</f>
        <v>0</v>
      </c>
      <c r="E81" s="138" t="s">
        <v>275</v>
      </c>
      <c r="F81" s="78" t="s">
        <v>276</v>
      </c>
      <c r="G81" s="79">
        <v>18029349</v>
      </c>
    </row>
    <row r="82" spans="2:7">
      <c r="B82" s="18" t="s">
        <v>277</v>
      </c>
      <c r="C82" s="223" t="s">
        <v>244</v>
      </c>
      <c r="D82" s="223">
        <f>[11]Amortizaciones!D24</f>
        <v>619937</v>
      </c>
      <c r="E82" s="138" t="s">
        <v>278</v>
      </c>
      <c r="F82" s="78" t="s">
        <v>279</v>
      </c>
      <c r="G82" s="79">
        <v>15899121</v>
      </c>
    </row>
    <row r="83" spans="2:7">
      <c r="B83" s="18" t="s">
        <v>280</v>
      </c>
      <c r="C83" s="223" t="s">
        <v>248</v>
      </c>
      <c r="D83" s="223">
        <f>[11]Amortizaciones!D25</f>
        <v>0</v>
      </c>
      <c r="E83" s="138" t="s">
        <v>281</v>
      </c>
      <c r="F83" s="78" t="s">
        <v>282</v>
      </c>
      <c r="G83" s="79">
        <v>12794447</v>
      </c>
    </row>
    <row r="84" spans="2:7">
      <c r="B84" s="18" t="s">
        <v>283</v>
      </c>
      <c r="C84" s="223" t="s">
        <v>284</v>
      </c>
      <c r="D84" s="223">
        <v>0</v>
      </c>
      <c r="E84" s="138" t="s">
        <v>285</v>
      </c>
      <c r="F84" s="78" t="s">
        <v>286</v>
      </c>
      <c r="G84" s="79">
        <v>23780692</v>
      </c>
    </row>
    <row r="85" spans="2:7">
      <c r="B85" s="18" t="s">
        <v>287</v>
      </c>
      <c r="C85" s="223" t="s">
        <v>288</v>
      </c>
      <c r="D85" s="223">
        <f>[11]Amortizaciones!D27</f>
        <v>0</v>
      </c>
      <c r="E85" s="138" t="s">
        <v>289</v>
      </c>
      <c r="F85" s="78" t="s">
        <v>290</v>
      </c>
      <c r="G85" s="79">
        <v>11215968</v>
      </c>
    </row>
    <row r="86" spans="2:7" ht="13.5" customHeight="1">
      <c r="B86" s="18" t="s">
        <v>291</v>
      </c>
      <c r="C86" s="223" t="s">
        <v>292</v>
      </c>
      <c r="D86" s="223">
        <f>[11]Amortizaciones!D28</f>
        <v>0</v>
      </c>
      <c r="E86" s="138" t="s">
        <v>293</v>
      </c>
      <c r="F86" s="78" t="s">
        <v>294</v>
      </c>
      <c r="G86" s="79">
        <v>0</v>
      </c>
    </row>
    <row r="87" spans="2:7" ht="13.5" customHeight="1">
      <c r="B87" s="18" t="s">
        <v>295</v>
      </c>
      <c r="C87" s="223" t="s">
        <v>296</v>
      </c>
      <c r="D87" s="223">
        <f>[11]Amortizaciones!D29</f>
        <v>0</v>
      </c>
      <c r="E87" s="138" t="s">
        <v>297</v>
      </c>
      <c r="F87" s="78" t="s">
        <v>298</v>
      </c>
      <c r="G87" s="79">
        <v>8654603</v>
      </c>
    </row>
    <row r="88" spans="2:7" ht="13.5" customHeight="1">
      <c r="B88" s="18" t="s">
        <v>299</v>
      </c>
      <c r="C88" s="223" t="s">
        <v>300</v>
      </c>
      <c r="D88" s="223">
        <f>[11]Amortizaciones!D30</f>
        <v>1939505</v>
      </c>
      <c r="E88" s="138" t="s">
        <v>301</v>
      </c>
      <c r="F88" s="78" t="s">
        <v>302</v>
      </c>
      <c r="G88" s="79">
        <v>12744</v>
      </c>
    </row>
    <row r="89" spans="2:7">
      <c r="B89" s="18" t="s">
        <v>303</v>
      </c>
      <c r="C89" s="223" t="s">
        <v>212</v>
      </c>
      <c r="D89" s="223">
        <f>[11]Amortizaciones!D31</f>
        <v>0</v>
      </c>
      <c r="E89" s="138" t="s">
        <v>304</v>
      </c>
      <c r="F89" s="78" t="s">
        <v>305</v>
      </c>
      <c r="G89" s="79">
        <v>101318367</v>
      </c>
    </row>
    <row r="90" spans="2:7" ht="14.25" customHeight="1">
      <c r="B90" s="18" t="s">
        <v>306</v>
      </c>
      <c r="C90" s="223" t="s">
        <v>228</v>
      </c>
      <c r="D90" s="223">
        <f>[11]Amortizaciones!D32</f>
        <v>0</v>
      </c>
      <c r="E90" s="138" t="s">
        <v>307</v>
      </c>
      <c r="F90" s="78" t="s">
        <v>308</v>
      </c>
      <c r="G90" s="79">
        <v>3741818</v>
      </c>
    </row>
    <row r="91" spans="2:7" ht="14.25" customHeight="1">
      <c r="B91" s="18" t="s">
        <v>309</v>
      </c>
      <c r="C91" s="223" t="s">
        <v>310</v>
      </c>
      <c r="D91" s="223">
        <f>SUM(D80:D90)</f>
        <v>7381993</v>
      </c>
      <c r="E91" s="225" t="s">
        <v>311</v>
      </c>
      <c r="F91" s="78" t="s">
        <v>312</v>
      </c>
      <c r="G91" s="79">
        <v>2009829</v>
      </c>
    </row>
    <row r="92" spans="2:7" ht="14.25" customHeight="1">
      <c r="B92" s="18"/>
      <c r="C92" s="226" t="s">
        <v>313</v>
      </c>
      <c r="D92" s="223">
        <f>D77+D91</f>
        <v>93104970</v>
      </c>
      <c r="E92" s="225" t="s">
        <v>314</v>
      </c>
      <c r="F92" s="78" t="s">
        <v>315</v>
      </c>
      <c r="G92" s="79">
        <v>0</v>
      </c>
    </row>
    <row r="93" spans="2:7">
      <c r="C93" s="116"/>
      <c r="D93" s="116"/>
      <c r="E93" s="225" t="s">
        <v>316</v>
      </c>
      <c r="F93" s="78" t="s">
        <v>317</v>
      </c>
      <c r="G93" s="79">
        <v>1618670</v>
      </c>
    </row>
    <row r="94" spans="2:7">
      <c r="C94" s="116"/>
      <c r="D94" s="116"/>
      <c r="E94" s="225" t="s">
        <v>318</v>
      </c>
      <c r="F94" s="78" t="s">
        <v>319</v>
      </c>
      <c r="G94" s="84">
        <v>6621697</v>
      </c>
    </row>
    <row r="95" spans="2:7" ht="13.5" customHeight="1" thickBot="1">
      <c r="C95" s="116"/>
      <c r="D95" s="116"/>
      <c r="E95" s="138"/>
      <c r="F95" s="85" t="s">
        <v>320</v>
      </c>
      <c r="G95" s="86">
        <f>SUM(G80:G94)</f>
        <v>205697305</v>
      </c>
    </row>
    <row r="96" spans="2:7">
      <c r="C96" s="116"/>
      <c r="D96" s="116"/>
      <c r="E96" s="225" t="s">
        <v>321</v>
      </c>
      <c r="F96" s="80" t="s">
        <v>322</v>
      </c>
      <c r="G96" s="81">
        <v>31502436</v>
      </c>
    </row>
    <row r="97" spans="2:7">
      <c r="C97" s="116"/>
      <c r="D97" s="116"/>
      <c r="E97" s="225" t="s">
        <v>323</v>
      </c>
      <c r="F97" s="78" t="s">
        <v>324</v>
      </c>
      <c r="G97" s="79">
        <v>11703534</v>
      </c>
    </row>
    <row r="98" spans="2:7">
      <c r="C98" s="116"/>
      <c r="D98" s="116"/>
      <c r="E98" s="225" t="s">
        <v>325</v>
      </c>
      <c r="F98" s="78" t="s">
        <v>326</v>
      </c>
      <c r="G98" s="79">
        <v>0</v>
      </c>
    </row>
    <row r="99" spans="2:7">
      <c r="C99" s="116"/>
      <c r="D99" s="116"/>
      <c r="E99" s="225" t="s">
        <v>327</v>
      </c>
      <c r="F99" s="78" t="s">
        <v>328</v>
      </c>
      <c r="G99" s="79">
        <v>17770016</v>
      </c>
    </row>
    <row r="100" spans="2:7">
      <c r="C100" s="116"/>
      <c r="D100" s="116"/>
      <c r="E100" s="225" t="s">
        <v>329</v>
      </c>
      <c r="F100" s="78" t="s">
        <v>330</v>
      </c>
      <c r="G100" s="84">
        <v>2109586</v>
      </c>
    </row>
    <row r="101" spans="2:7" ht="12.75" customHeight="1" thickBot="1">
      <c r="C101" s="116"/>
      <c r="D101" s="116"/>
      <c r="E101" s="138"/>
      <c r="F101" s="85" t="s">
        <v>331</v>
      </c>
      <c r="G101" s="86">
        <f>SUM(G96:G100)</f>
        <v>63085572</v>
      </c>
    </row>
    <row r="102" spans="2:7" ht="12.75" customHeight="1" thickBot="1">
      <c r="C102" s="116"/>
      <c r="D102" s="116"/>
      <c r="E102" s="225"/>
      <c r="F102" s="110" t="s">
        <v>332</v>
      </c>
      <c r="G102" s="111">
        <f>[11]Amortizaciones!D19</f>
        <v>85722977</v>
      </c>
    </row>
    <row r="103" spans="2:7">
      <c r="C103" s="116"/>
      <c r="D103" s="116"/>
      <c r="E103" s="225" t="s">
        <v>333</v>
      </c>
      <c r="F103" s="78" t="s">
        <v>334</v>
      </c>
      <c r="G103" s="81">
        <v>0</v>
      </c>
    </row>
    <row r="104" spans="2:7">
      <c r="C104" s="116"/>
      <c r="D104" s="116"/>
      <c r="E104" s="225" t="s">
        <v>335</v>
      </c>
      <c r="F104" s="112" t="s">
        <v>336</v>
      </c>
      <c r="G104" s="79">
        <v>0</v>
      </c>
    </row>
    <row r="105" spans="2:7" ht="14.25" customHeight="1" thickBot="1">
      <c r="C105" s="116"/>
      <c r="D105" s="116"/>
      <c r="E105" s="138"/>
      <c r="F105" s="85" t="s">
        <v>337</v>
      </c>
      <c r="G105" s="86">
        <f>SUM(G103:G104)</f>
        <v>0</v>
      </c>
    </row>
    <row r="106" spans="2:7" ht="14.25" customHeight="1" thickBot="1">
      <c r="B106" s="5"/>
      <c r="C106" s="227"/>
      <c r="D106" s="227"/>
      <c r="E106" s="225"/>
      <c r="F106" s="72" t="s">
        <v>338</v>
      </c>
      <c r="G106" s="103">
        <f>G19+G27+G32+G48+G57+G79+G95+G101+G102+G105</f>
        <v>5714056600</v>
      </c>
    </row>
    <row r="107" spans="2:7" ht="5.25" customHeight="1">
      <c r="B107" s="5"/>
      <c r="C107" s="227"/>
      <c r="D107" s="227"/>
      <c r="E107" s="138"/>
      <c r="F107" s="114"/>
      <c r="G107" s="115"/>
    </row>
    <row r="108" spans="2:7" ht="5.25" customHeight="1" thickBot="1">
      <c r="B108" s="5"/>
      <c r="C108" s="227"/>
      <c r="D108" s="227"/>
      <c r="E108" s="138"/>
      <c r="F108" s="116"/>
      <c r="G108" s="116"/>
    </row>
    <row r="109" spans="2:7" ht="16.5" customHeight="1" thickBot="1">
      <c r="B109" s="5"/>
      <c r="C109" s="227"/>
      <c r="D109" s="227"/>
      <c r="E109" s="138"/>
      <c r="F109" s="72" t="s">
        <v>339</v>
      </c>
      <c r="G109" s="103">
        <f>D61-G106</f>
        <v>192161615</v>
      </c>
    </row>
    <row r="110" spans="2:7" ht="6.75" customHeight="1" thickBot="1">
      <c r="B110" s="5"/>
      <c r="C110" s="227"/>
      <c r="D110" s="227"/>
      <c r="E110" s="138"/>
      <c r="F110" s="116"/>
      <c r="G110" s="116"/>
    </row>
    <row r="111" spans="2:7" ht="15" customHeight="1" thickBot="1">
      <c r="C111" s="72" t="s">
        <v>269</v>
      </c>
      <c r="D111" s="118">
        <f>+[11]E.S.P.!D6</f>
        <v>2021</v>
      </c>
      <c r="E111" s="225"/>
      <c r="F111" s="72" t="s">
        <v>340</v>
      </c>
      <c r="G111" s="118">
        <f>+[11]E.S.P.!D6</f>
        <v>2021</v>
      </c>
    </row>
    <row r="112" spans="2:7" ht="13.7" customHeight="1">
      <c r="B112" s="5" t="s">
        <v>341</v>
      </c>
      <c r="C112" s="119" t="s">
        <v>342</v>
      </c>
      <c r="D112" s="120">
        <v>27410205</v>
      </c>
      <c r="E112" s="138" t="s">
        <v>343</v>
      </c>
      <c r="F112" s="119" t="s">
        <v>308</v>
      </c>
      <c r="G112" s="120">
        <v>1735681</v>
      </c>
    </row>
    <row r="113" spans="2:7" ht="13.7" customHeight="1">
      <c r="B113" s="5" t="s">
        <v>344</v>
      </c>
      <c r="C113" s="121" t="s">
        <v>345</v>
      </c>
      <c r="D113" s="122">
        <v>144625395</v>
      </c>
      <c r="E113" s="138" t="s">
        <v>346</v>
      </c>
      <c r="F113" s="121" t="s">
        <v>347</v>
      </c>
      <c r="G113" s="122">
        <v>0</v>
      </c>
    </row>
    <row r="114" spans="2:7" ht="13.7" customHeight="1">
      <c r="B114" s="5" t="s">
        <v>348</v>
      </c>
      <c r="C114" s="121" t="s">
        <v>48</v>
      </c>
      <c r="D114" s="122">
        <v>0</v>
      </c>
      <c r="E114" s="138" t="s">
        <v>349</v>
      </c>
      <c r="F114" s="121" t="s">
        <v>350</v>
      </c>
      <c r="G114" s="122">
        <v>9597287</v>
      </c>
    </row>
    <row r="115" spans="2:7" ht="13.7" customHeight="1">
      <c r="B115" s="5" t="s">
        <v>351</v>
      </c>
      <c r="C115" s="121" t="s">
        <v>352</v>
      </c>
      <c r="D115" s="122">
        <v>1161351</v>
      </c>
      <c r="E115" s="138" t="s">
        <v>353</v>
      </c>
      <c r="F115" s="121" t="s">
        <v>354</v>
      </c>
      <c r="G115" s="122">
        <v>249985</v>
      </c>
    </row>
    <row r="116" spans="2:7" ht="13.7" customHeight="1">
      <c r="B116" s="5" t="s">
        <v>355</v>
      </c>
      <c r="C116" s="121" t="s">
        <v>356</v>
      </c>
      <c r="D116" s="122">
        <v>6455354</v>
      </c>
      <c r="E116" s="138" t="s">
        <v>357</v>
      </c>
      <c r="F116" s="121" t="s">
        <v>358</v>
      </c>
      <c r="G116" s="122">
        <v>26331601</v>
      </c>
    </row>
    <row r="117" spans="2:7" ht="13.7" customHeight="1">
      <c r="B117" s="5" t="s">
        <v>359</v>
      </c>
      <c r="C117" s="121" t="s">
        <v>360</v>
      </c>
      <c r="D117" s="122">
        <v>0</v>
      </c>
      <c r="E117" s="138" t="s">
        <v>361</v>
      </c>
      <c r="F117" s="121" t="s">
        <v>362</v>
      </c>
      <c r="G117" s="122">
        <v>0</v>
      </c>
    </row>
    <row r="118" spans="2:7" ht="13.7" customHeight="1">
      <c r="B118" s="5" t="s">
        <v>363</v>
      </c>
      <c r="C118" s="121" t="s">
        <v>364</v>
      </c>
      <c r="D118" s="122">
        <v>0</v>
      </c>
      <c r="E118" s="138" t="s">
        <v>365</v>
      </c>
      <c r="F118" s="121" t="s">
        <v>366</v>
      </c>
      <c r="G118" s="122">
        <v>0</v>
      </c>
    </row>
    <row r="119" spans="2:7" ht="13.7" customHeight="1">
      <c r="B119" s="5" t="s">
        <v>367</v>
      </c>
      <c r="C119" s="121" t="s">
        <v>368</v>
      </c>
      <c r="D119" s="122">
        <v>1644072</v>
      </c>
      <c r="E119" s="138" t="s">
        <v>369</v>
      </c>
      <c r="F119" s="121" t="s">
        <v>370</v>
      </c>
      <c r="G119" s="122">
        <v>0</v>
      </c>
    </row>
    <row r="120" spans="2:7" ht="13.7" customHeight="1">
      <c r="B120" s="5" t="s">
        <v>371</v>
      </c>
      <c r="C120" s="121" t="s">
        <v>372</v>
      </c>
      <c r="D120" s="122">
        <v>0</v>
      </c>
      <c r="E120" s="138" t="s">
        <v>373</v>
      </c>
      <c r="F120" s="121" t="s">
        <v>374</v>
      </c>
      <c r="G120" s="122">
        <v>0</v>
      </c>
    </row>
    <row r="121" spans="2:7" ht="13.7" customHeight="1">
      <c r="B121" s="5" t="s">
        <v>375</v>
      </c>
      <c r="C121" s="78" t="s">
        <v>376</v>
      </c>
      <c r="D121" s="122">
        <v>6293562</v>
      </c>
      <c r="E121" s="138" t="s">
        <v>377</v>
      </c>
      <c r="F121" s="121" t="s">
        <v>378</v>
      </c>
      <c r="G121" s="122">
        <v>9880702</v>
      </c>
    </row>
    <row r="122" spans="2:7" ht="13.7" customHeight="1" thickBot="1">
      <c r="B122" s="5"/>
      <c r="C122" s="85" t="s">
        <v>379</v>
      </c>
      <c r="D122" s="94">
        <f>SUM(D112:D121)</f>
        <v>187589939</v>
      </c>
      <c r="E122" s="138" t="s">
        <v>380</v>
      </c>
      <c r="F122" s="78" t="s">
        <v>381</v>
      </c>
      <c r="G122" s="79">
        <v>1413664</v>
      </c>
    </row>
    <row r="123" spans="2:7" ht="13.7" customHeight="1" thickBot="1">
      <c r="B123" s="5" t="s">
        <v>382</v>
      </c>
      <c r="C123" s="123" t="s">
        <v>308</v>
      </c>
      <c r="D123" s="120">
        <v>0</v>
      </c>
      <c r="E123" s="225"/>
      <c r="F123" s="85" t="s">
        <v>383</v>
      </c>
      <c r="G123" s="94">
        <f>SUM(G112:G122)</f>
        <v>49208920</v>
      </c>
    </row>
    <row r="124" spans="2:7" ht="13.7" customHeight="1">
      <c r="B124" s="5" t="s">
        <v>384</v>
      </c>
      <c r="C124" s="121" t="s">
        <v>312</v>
      </c>
      <c r="D124" s="122">
        <v>4305605</v>
      </c>
      <c r="E124" s="138" t="s">
        <v>385</v>
      </c>
      <c r="F124" s="121" t="s">
        <v>386</v>
      </c>
      <c r="G124" s="122">
        <v>3421986</v>
      </c>
    </row>
    <row r="125" spans="2:7" ht="13.7" customHeight="1">
      <c r="B125" s="5" t="s">
        <v>387</v>
      </c>
      <c r="C125" s="78" t="s">
        <v>388</v>
      </c>
      <c r="D125" s="122">
        <v>147676</v>
      </c>
      <c r="E125" s="138" t="s">
        <v>389</v>
      </c>
      <c r="F125" s="121" t="s">
        <v>390</v>
      </c>
      <c r="G125" s="122">
        <v>469855</v>
      </c>
    </row>
    <row r="126" spans="2:7" ht="13.7" customHeight="1" thickBot="1">
      <c r="B126" s="5"/>
      <c r="C126" s="85" t="s">
        <v>391</v>
      </c>
      <c r="D126" s="94">
        <f>SUM(D123:D125)</f>
        <v>4453281</v>
      </c>
      <c r="E126" s="138" t="s">
        <v>392</v>
      </c>
      <c r="F126" s="121" t="s">
        <v>393</v>
      </c>
      <c r="G126" s="122">
        <v>5984125</v>
      </c>
    </row>
    <row r="127" spans="2:7" ht="13.7" customHeight="1">
      <c r="B127" s="5" t="s">
        <v>394</v>
      </c>
      <c r="C127" s="119" t="s">
        <v>273</v>
      </c>
      <c r="D127" s="120">
        <v>7562253</v>
      </c>
      <c r="E127" s="138" t="s">
        <v>395</v>
      </c>
      <c r="F127" s="121" t="s">
        <v>396</v>
      </c>
      <c r="G127" s="122">
        <v>0</v>
      </c>
    </row>
    <row r="128" spans="2:7" ht="13.7" customHeight="1">
      <c r="B128" s="5" t="s">
        <v>397</v>
      </c>
      <c r="C128" s="121" t="s">
        <v>398</v>
      </c>
      <c r="D128" s="122">
        <v>10082439</v>
      </c>
      <c r="E128" s="138" t="s">
        <v>399</v>
      </c>
      <c r="F128" s="121" t="s">
        <v>400</v>
      </c>
      <c r="G128" s="122">
        <v>0</v>
      </c>
    </row>
    <row r="129" spans="2:7" ht="13.7" customHeight="1">
      <c r="B129" s="5" t="s">
        <v>401</v>
      </c>
      <c r="C129" s="121" t="s">
        <v>276</v>
      </c>
      <c r="D129" s="122">
        <v>0</v>
      </c>
      <c r="E129" s="138" t="s">
        <v>402</v>
      </c>
      <c r="F129" s="121" t="s">
        <v>403</v>
      </c>
      <c r="G129" s="122">
        <v>13434676</v>
      </c>
    </row>
    <row r="130" spans="2:7" ht="13.7" customHeight="1">
      <c r="B130" s="5" t="s">
        <v>404</v>
      </c>
      <c r="C130" s="121" t="s">
        <v>282</v>
      </c>
      <c r="D130" s="122">
        <v>0</v>
      </c>
      <c r="E130" s="138" t="s">
        <v>405</v>
      </c>
      <c r="F130" s="121" t="s">
        <v>406</v>
      </c>
      <c r="G130" s="122">
        <v>0</v>
      </c>
    </row>
    <row r="131" spans="2:7" ht="13.7" customHeight="1">
      <c r="B131" s="5" t="s">
        <v>407</v>
      </c>
      <c r="C131" s="121" t="s">
        <v>286</v>
      </c>
      <c r="D131" s="122">
        <v>0</v>
      </c>
      <c r="E131" s="138" t="s">
        <v>408</v>
      </c>
      <c r="F131" s="121" t="s">
        <v>409</v>
      </c>
      <c r="G131" s="122">
        <v>0</v>
      </c>
    </row>
    <row r="132" spans="2:7" ht="13.7" customHeight="1">
      <c r="B132" s="5" t="s">
        <v>410</v>
      </c>
      <c r="C132" s="121" t="s">
        <v>290</v>
      </c>
      <c r="D132" s="122">
        <v>0</v>
      </c>
      <c r="E132" s="138" t="s">
        <v>411</v>
      </c>
      <c r="F132" s="121" t="s">
        <v>412</v>
      </c>
      <c r="G132" s="122">
        <v>0</v>
      </c>
    </row>
    <row r="133" spans="2:7" ht="13.7" customHeight="1">
      <c r="B133" s="5" t="s">
        <v>413</v>
      </c>
      <c r="C133" s="121" t="s">
        <v>294</v>
      </c>
      <c r="D133" s="122">
        <v>1130779</v>
      </c>
      <c r="E133" s="138" t="s">
        <v>414</v>
      </c>
      <c r="F133" s="121" t="s">
        <v>415</v>
      </c>
      <c r="G133" s="122">
        <v>0</v>
      </c>
    </row>
    <row r="134" spans="2:7" ht="13.7" customHeight="1">
      <c r="B134" s="5" t="s">
        <v>416</v>
      </c>
      <c r="C134" s="121" t="s">
        <v>417</v>
      </c>
      <c r="D134" s="122">
        <v>3259575</v>
      </c>
      <c r="E134" s="138" t="s">
        <v>418</v>
      </c>
      <c r="F134" s="121" t="s">
        <v>419</v>
      </c>
      <c r="G134" s="122">
        <v>7338750</v>
      </c>
    </row>
    <row r="135" spans="2:7" ht="13.7" customHeight="1">
      <c r="B135" s="5" t="s">
        <v>420</v>
      </c>
      <c r="C135" s="121" t="s">
        <v>421</v>
      </c>
      <c r="D135" s="122">
        <v>8630502</v>
      </c>
      <c r="E135" s="138" t="s">
        <v>422</v>
      </c>
      <c r="F135" s="121" t="s">
        <v>423</v>
      </c>
      <c r="G135" s="122">
        <v>0</v>
      </c>
    </row>
    <row r="136" spans="2:7" ht="13.7" customHeight="1">
      <c r="B136" s="5" t="s">
        <v>424</v>
      </c>
      <c r="C136" s="121" t="s">
        <v>317</v>
      </c>
      <c r="D136" s="122">
        <v>8957934</v>
      </c>
      <c r="E136" s="138" t="s">
        <v>425</v>
      </c>
      <c r="F136" s="121" t="s">
        <v>426</v>
      </c>
      <c r="G136" s="122">
        <v>198994</v>
      </c>
    </row>
    <row r="137" spans="2:7" ht="13.7" customHeight="1">
      <c r="B137" s="5" t="s">
        <v>427</v>
      </c>
      <c r="C137" s="78" t="s">
        <v>319</v>
      </c>
      <c r="D137" s="124">
        <v>1364366</v>
      </c>
      <c r="E137" s="138" t="s">
        <v>428</v>
      </c>
      <c r="F137" s="121" t="s">
        <v>429</v>
      </c>
      <c r="G137" s="122">
        <v>40900627</v>
      </c>
    </row>
    <row r="138" spans="2:7" ht="13.7" customHeight="1" thickBot="1">
      <c r="B138" s="5"/>
      <c r="C138" s="85" t="s">
        <v>320</v>
      </c>
      <c r="D138" s="94">
        <f>SUM(D127:D137)</f>
        <v>40987848</v>
      </c>
      <c r="E138" s="138" t="s">
        <v>430</v>
      </c>
      <c r="F138" s="78" t="s">
        <v>431</v>
      </c>
      <c r="G138" s="79">
        <v>1078432</v>
      </c>
    </row>
    <row r="139" spans="2:7" ht="13.7" customHeight="1" thickBot="1">
      <c r="B139" s="5" t="s">
        <v>432</v>
      </c>
      <c r="C139" s="119" t="s">
        <v>326</v>
      </c>
      <c r="D139" s="120">
        <v>0</v>
      </c>
      <c r="E139" s="228"/>
      <c r="F139" s="85" t="s">
        <v>433</v>
      </c>
      <c r="G139" s="94">
        <f>SUM(G124:G138)</f>
        <v>72827445</v>
      </c>
    </row>
    <row r="140" spans="2:7" ht="13.7" customHeight="1" thickBot="1">
      <c r="B140" s="5" t="s">
        <v>434</v>
      </c>
      <c r="C140" s="121" t="s">
        <v>328</v>
      </c>
      <c r="D140" s="122">
        <v>10278820</v>
      </c>
      <c r="E140" s="228"/>
      <c r="F140" s="110" t="s">
        <v>435</v>
      </c>
      <c r="G140" s="126">
        <f>G123-G139</f>
        <v>-23618525</v>
      </c>
    </row>
    <row r="141" spans="2:7" ht="13.7" customHeight="1">
      <c r="B141" s="5" t="s">
        <v>436</v>
      </c>
      <c r="C141" s="78" t="s">
        <v>330</v>
      </c>
      <c r="D141" s="124">
        <v>343735</v>
      </c>
      <c r="E141" s="229"/>
      <c r="F141" s="116"/>
      <c r="G141" s="116"/>
    </row>
    <row r="142" spans="2:7" ht="13.7" customHeight="1" thickBot="1">
      <c r="B142" s="5"/>
      <c r="C142" s="85" t="s">
        <v>331</v>
      </c>
      <c r="D142" s="94">
        <f>SUM(D139:D141)</f>
        <v>10622555</v>
      </c>
      <c r="E142" s="229"/>
      <c r="F142" s="116"/>
      <c r="G142" s="116"/>
    </row>
    <row r="143" spans="2:7" ht="13.5" customHeight="1" thickBot="1">
      <c r="B143" s="5"/>
      <c r="C143" s="110" t="s">
        <v>332</v>
      </c>
      <c r="D143" s="126">
        <f>[11]Amortizaciones!D33</f>
        <v>7381993</v>
      </c>
      <c r="E143" s="138"/>
      <c r="F143" s="72" t="s">
        <v>437</v>
      </c>
      <c r="G143" s="118">
        <f>+[11]E.S.P.!D6</f>
        <v>2021</v>
      </c>
    </row>
    <row r="144" spans="2:7" ht="13.7" customHeight="1">
      <c r="B144" s="5" t="s">
        <v>438</v>
      </c>
      <c r="C144" s="119" t="s">
        <v>439</v>
      </c>
      <c r="D144" s="120">
        <v>9251194</v>
      </c>
      <c r="E144" s="138" t="s">
        <v>440</v>
      </c>
      <c r="F144" s="119" t="s">
        <v>441</v>
      </c>
      <c r="G144" s="120">
        <v>0</v>
      </c>
    </row>
    <row r="145" spans="2:7" ht="13.7" customHeight="1">
      <c r="B145" s="5" t="s">
        <v>442</v>
      </c>
      <c r="C145" s="121" t="s">
        <v>443</v>
      </c>
      <c r="D145" s="122">
        <v>68631</v>
      </c>
      <c r="E145" s="138" t="s">
        <v>444</v>
      </c>
      <c r="F145" s="121" t="s">
        <v>445</v>
      </c>
      <c r="G145" s="122">
        <v>13752913</v>
      </c>
    </row>
    <row r="146" spans="2:7" ht="13.7" customHeight="1">
      <c r="B146" s="5" t="s">
        <v>446</v>
      </c>
      <c r="C146" s="128" t="s">
        <v>447</v>
      </c>
      <c r="D146" s="122">
        <v>0</v>
      </c>
      <c r="E146" s="138" t="s">
        <v>448</v>
      </c>
      <c r="F146" s="121" t="s">
        <v>449</v>
      </c>
      <c r="G146" s="122">
        <v>22556450</v>
      </c>
    </row>
    <row r="147" spans="2:7" ht="13.7" customHeight="1">
      <c r="B147" s="5" t="s">
        <v>450</v>
      </c>
      <c r="C147" s="78" t="s">
        <v>451</v>
      </c>
      <c r="D147" s="124">
        <v>328431</v>
      </c>
      <c r="E147" s="138" t="s">
        <v>452</v>
      </c>
      <c r="F147" s="121" t="s">
        <v>453</v>
      </c>
      <c r="G147" s="122">
        <v>0</v>
      </c>
    </row>
    <row r="148" spans="2:7" ht="13.7" customHeight="1" thickBot="1">
      <c r="B148" s="5"/>
      <c r="C148" s="85" t="s">
        <v>518</v>
      </c>
      <c r="D148" s="94">
        <f>SUM(D144:D147)</f>
        <v>9648256</v>
      </c>
      <c r="E148" s="138" t="s">
        <v>454</v>
      </c>
      <c r="F148" s="121" t="s">
        <v>455</v>
      </c>
      <c r="G148" s="122">
        <v>0</v>
      </c>
    </row>
    <row r="149" spans="2:7" ht="13.7" customHeight="1">
      <c r="B149" s="5" t="s">
        <v>456</v>
      </c>
      <c r="C149" s="119" t="s">
        <v>457</v>
      </c>
      <c r="D149" s="120">
        <v>258205</v>
      </c>
      <c r="E149" s="138" t="s">
        <v>458</v>
      </c>
      <c r="F149" s="121" t="s">
        <v>459</v>
      </c>
      <c r="G149" s="122">
        <v>0</v>
      </c>
    </row>
    <row r="150" spans="2:7" ht="13.7" customHeight="1">
      <c r="B150" s="5" t="s">
        <v>460</v>
      </c>
      <c r="C150" s="121" t="s">
        <v>461</v>
      </c>
      <c r="D150" s="122">
        <v>0</v>
      </c>
      <c r="E150" s="138" t="s">
        <v>462</v>
      </c>
      <c r="F150" s="121" t="s">
        <v>463</v>
      </c>
      <c r="G150" s="122">
        <v>0</v>
      </c>
    </row>
    <row r="151" spans="2:7" ht="13.7" customHeight="1">
      <c r="B151" s="5" t="s">
        <v>464</v>
      </c>
      <c r="C151" s="78" t="s">
        <v>465</v>
      </c>
      <c r="D151" s="124">
        <v>0</v>
      </c>
      <c r="E151" s="138" t="s">
        <v>466</v>
      </c>
      <c r="F151" s="121" t="s">
        <v>467</v>
      </c>
      <c r="G151" s="122">
        <v>59868486</v>
      </c>
    </row>
    <row r="152" spans="2:7" ht="13.7" customHeight="1" thickBot="1">
      <c r="B152" s="5"/>
      <c r="C152" s="85" t="s">
        <v>516</v>
      </c>
      <c r="D152" s="94">
        <f>SUM(D149:D151)</f>
        <v>258205</v>
      </c>
      <c r="E152" s="138" t="s">
        <v>469</v>
      </c>
      <c r="F152" s="121" t="s">
        <v>470</v>
      </c>
      <c r="G152" s="122">
        <v>347814</v>
      </c>
    </row>
    <row r="153" spans="2:7" ht="15" customHeight="1" thickBot="1">
      <c r="B153" s="5"/>
      <c r="C153" s="110" t="s">
        <v>471</v>
      </c>
      <c r="D153" s="129">
        <f>D122+D126+D138+D142+D143+D148+D152</f>
        <v>260942077</v>
      </c>
      <c r="E153" s="138" t="s">
        <v>472</v>
      </c>
      <c r="F153" s="78" t="s">
        <v>473</v>
      </c>
      <c r="G153" s="79">
        <v>867187</v>
      </c>
    </row>
    <row r="154" spans="2:7" ht="13.7" customHeight="1" thickBot="1">
      <c r="B154" s="5"/>
      <c r="C154" s="116"/>
      <c r="D154" s="116"/>
      <c r="E154" s="138"/>
      <c r="F154" s="85" t="s">
        <v>474</v>
      </c>
      <c r="G154" s="94">
        <f>SUM(G144:G153)</f>
        <v>97392850</v>
      </c>
    </row>
    <row r="155" spans="2:7" ht="13.5" customHeight="1" thickBot="1">
      <c r="B155" s="5"/>
      <c r="C155" s="72" t="s">
        <v>475</v>
      </c>
      <c r="D155" s="103">
        <f>G109-D153</f>
        <v>-68780462</v>
      </c>
      <c r="E155" s="138" t="s">
        <v>476</v>
      </c>
      <c r="F155" s="119" t="s">
        <v>477</v>
      </c>
      <c r="G155" s="120">
        <v>9465457</v>
      </c>
    </row>
    <row r="156" spans="2:7" ht="13.7" customHeight="1">
      <c r="C156" s="116"/>
      <c r="D156" s="116"/>
      <c r="E156" s="138" t="s">
        <v>478</v>
      </c>
      <c r="F156" s="121" t="s">
        <v>479</v>
      </c>
      <c r="G156" s="122">
        <v>34681393</v>
      </c>
    </row>
    <row r="157" spans="2:7" ht="13.7" customHeight="1">
      <c r="C157" s="116"/>
      <c r="D157" s="116"/>
      <c r="E157" s="138" t="s">
        <v>480</v>
      </c>
      <c r="F157" s="121" t="s">
        <v>481</v>
      </c>
      <c r="G157" s="122">
        <v>0</v>
      </c>
    </row>
    <row r="158" spans="2:7" ht="13.7" customHeight="1">
      <c r="C158" s="116"/>
      <c r="D158" s="116"/>
      <c r="E158" s="138" t="s">
        <v>482</v>
      </c>
      <c r="F158" s="121" t="s">
        <v>483</v>
      </c>
      <c r="G158" s="122">
        <v>0</v>
      </c>
    </row>
    <row r="159" spans="2:7" ht="13.7" customHeight="1">
      <c r="C159" s="116"/>
      <c r="D159" s="116"/>
      <c r="E159" s="138" t="s">
        <v>484</v>
      </c>
      <c r="F159" s="121" t="s">
        <v>485</v>
      </c>
      <c r="G159" s="122">
        <v>0</v>
      </c>
    </row>
    <row r="160" spans="2:7" ht="13.7" customHeight="1">
      <c r="C160" s="116"/>
      <c r="D160" s="116"/>
      <c r="E160" s="138" t="s">
        <v>486</v>
      </c>
      <c r="F160" s="121" t="s">
        <v>487</v>
      </c>
      <c r="G160" s="122">
        <v>12427</v>
      </c>
    </row>
    <row r="161" spans="3:7" ht="13.7" customHeight="1">
      <c r="C161" s="116"/>
      <c r="D161" s="116"/>
      <c r="E161" s="138" t="s">
        <v>488</v>
      </c>
      <c r="F161" s="121" t="s">
        <v>489</v>
      </c>
      <c r="G161" s="122">
        <v>0</v>
      </c>
    </row>
    <row r="162" spans="3:7" ht="13.7" customHeight="1">
      <c r="C162" s="116"/>
      <c r="D162" s="116"/>
      <c r="E162" s="138" t="s">
        <v>490</v>
      </c>
      <c r="F162" s="121" t="s">
        <v>491</v>
      </c>
      <c r="G162" s="122">
        <v>0</v>
      </c>
    </row>
    <row r="163" spans="3:7" ht="13.7" customHeight="1">
      <c r="C163" s="116"/>
      <c r="D163" s="116"/>
      <c r="E163" s="138" t="s">
        <v>492</v>
      </c>
      <c r="F163" s="121" t="s">
        <v>493</v>
      </c>
      <c r="G163" s="122">
        <v>0</v>
      </c>
    </row>
    <row r="164" spans="3:7" ht="13.7" customHeight="1">
      <c r="C164" s="116"/>
      <c r="D164" s="116"/>
      <c r="E164" s="138" t="s">
        <v>494</v>
      </c>
      <c r="F164" s="121" t="s">
        <v>495</v>
      </c>
      <c r="G164" s="122">
        <v>0</v>
      </c>
    </row>
    <row r="165" spans="3:7" ht="13.7" customHeight="1">
      <c r="C165" s="116"/>
      <c r="D165" s="116"/>
      <c r="E165" s="138" t="s">
        <v>496</v>
      </c>
      <c r="F165" s="121" t="s">
        <v>497</v>
      </c>
      <c r="G165" s="122">
        <v>0</v>
      </c>
    </row>
    <row r="166" spans="3:7" ht="13.7" customHeight="1">
      <c r="C166" s="116"/>
      <c r="D166" s="116"/>
      <c r="E166" s="138" t="s">
        <v>498</v>
      </c>
      <c r="F166" s="121" t="s">
        <v>499</v>
      </c>
      <c r="G166" s="122">
        <v>1880551</v>
      </c>
    </row>
    <row r="167" spans="3:7" ht="13.7" customHeight="1">
      <c r="C167" s="116"/>
      <c r="D167" s="116"/>
      <c r="E167" s="138" t="s">
        <v>500</v>
      </c>
      <c r="F167" s="78" t="s">
        <v>501</v>
      </c>
      <c r="G167" s="79">
        <v>375526</v>
      </c>
    </row>
    <row r="168" spans="3:7" ht="13.7" customHeight="1" thickBot="1">
      <c r="C168" s="116"/>
      <c r="D168" s="116"/>
      <c r="E168" s="138"/>
      <c r="F168" s="85" t="s">
        <v>502</v>
      </c>
      <c r="G168" s="94">
        <f>SUM(G155:G167)</f>
        <v>46415354</v>
      </c>
    </row>
    <row r="169" spans="3:7" ht="13.7" customHeight="1" thickBot="1">
      <c r="C169" s="116"/>
      <c r="D169" s="116"/>
      <c r="E169" s="138"/>
      <c r="F169" s="110" t="s">
        <v>503</v>
      </c>
      <c r="G169" s="126">
        <f>G154-G168</f>
        <v>50977496</v>
      </c>
    </row>
    <row r="170" spans="3:7" ht="7.5" customHeight="1" thickBot="1">
      <c r="C170" s="116"/>
      <c r="D170" s="116"/>
      <c r="E170" s="138"/>
      <c r="F170" s="116"/>
      <c r="G170" s="116"/>
    </row>
    <row r="171" spans="3:7" ht="13.7" customHeight="1" thickBot="1">
      <c r="C171" s="116"/>
      <c r="D171" s="116"/>
      <c r="E171" s="138"/>
      <c r="F171" s="72" t="s">
        <v>504</v>
      </c>
      <c r="G171" s="131"/>
    </row>
    <row r="172" spans="3:7" ht="13.7" customHeight="1" thickBot="1">
      <c r="C172" s="116"/>
      <c r="D172" s="116"/>
      <c r="E172" s="138"/>
      <c r="F172" s="132"/>
      <c r="G172" s="133">
        <f>+D155+G140+G169</f>
        <v>-41421491</v>
      </c>
    </row>
    <row r="173" spans="3:7" ht="9" customHeight="1" thickBot="1">
      <c r="C173" s="116"/>
      <c r="D173" s="116"/>
      <c r="E173" s="138"/>
      <c r="F173" s="134"/>
      <c r="G173" s="135"/>
    </row>
    <row r="174" spans="3:7" ht="15" customHeight="1" thickBot="1">
      <c r="C174" s="116"/>
      <c r="D174" s="116"/>
      <c r="E174" s="138"/>
      <c r="F174" s="72" t="s">
        <v>505</v>
      </c>
      <c r="G174" s="118">
        <f>+G143</f>
        <v>2021</v>
      </c>
    </row>
    <row r="175" spans="3:7" ht="13.7" customHeight="1">
      <c r="C175" s="116"/>
      <c r="D175" s="116"/>
      <c r="E175" s="138"/>
      <c r="F175" s="119" t="s">
        <v>506</v>
      </c>
      <c r="G175" s="120">
        <v>0</v>
      </c>
    </row>
    <row r="176" spans="3:7" ht="13.7" customHeight="1">
      <c r="C176" s="116"/>
      <c r="D176" s="116"/>
      <c r="E176" s="138"/>
      <c r="F176" s="121" t="s">
        <v>507</v>
      </c>
      <c r="G176" s="122">
        <v>0</v>
      </c>
    </row>
    <row r="177" spans="1:8" ht="13.7" customHeight="1" thickBot="1">
      <c r="C177" s="116"/>
      <c r="D177" s="116"/>
      <c r="E177" s="138"/>
      <c r="F177" s="121" t="s">
        <v>508</v>
      </c>
      <c r="G177" s="122">
        <v>0</v>
      </c>
    </row>
    <row r="178" spans="1:8" ht="13.7" customHeight="1" thickBot="1">
      <c r="C178" s="116"/>
      <c r="D178" s="116"/>
      <c r="E178" s="138"/>
      <c r="F178" s="72" t="s">
        <v>509</v>
      </c>
      <c r="G178" s="103">
        <f>SUM(G175:G177)</f>
        <v>0</v>
      </c>
    </row>
    <row r="179" spans="1:8" ht="9.75" customHeight="1" thickBot="1">
      <c r="C179" s="116"/>
      <c r="D179" s="116"/>
      <c r="E179" s="138"/>
      <c r="F179" s="116"/>
      <c r="G179" s="116"/>
    </row>
    <row r="180" spans="1:8" ht="14.25" customHeight="1" thickBot="1">
      <c r="C180" s="116"/>
      <c r="D180" s="116"/>
      <c r="E180" s="138"/>
      <c r="F180" s="72" t="s">
        <v>519</v>
      </c>
      <c r="G180" s="131"/>
    </row>
    <row r="181" spans="1:8" ht="16.5" customHeight="1" thickBot="1">
      <c r="C181" s="116"/>
      <c r="D181" s="116"/>
      <c r="E181" s="138"/>
      <c r="F181" s="132"/>
      <c r="G181" s="133">
        <f>+G172+G178</f>
        <v>-41421491</v>
      </c>
    </row>
    <row r="182" spans="1:8" ht="13.7" customHeight="1"/>
    <row r="183" spans="1:8" ht="13.5" customHeight="1"/>
    <row r="184" spans="1:8" ht="13.7" customHeight="1">
      <c r="E184" s="20"/>
      <c r="F184" s="4"/>
      <c r="G184" s="4"/>
      <c r="H184" s="20"/>
    </row>
    <row r="185" spans="1:8" s="20" customFormat="1" ht="13.7" customHeight="1">
      <c r="A185" s="21"/>
      <c r="C185" s="4"/>
      <c r="D185" s="4"/>
      <c r="E185" s="13"/>
      <c r="F185" s="19"/>
      <c r="G185" s="19"/>
    </row>
    <row r="186" spans="1:8" s="20" customFormat="1">
      <c r="A186" s="21"/>
      <c r="C186" s="4"/>
      <c r="D186" s="4"/>
      <c r="E186" s="13"/>
      <c r="F186" s="19"/>
      <c r="G186" s="19"/>
    </row>
    <row r="187" spans="1:8" s="20" customFormat="1" hidden="1">
      <c r="A187" s="21"/>
      <c r="C187" s="4"/>
      <c r="D187" s="4"/>
      <c r="E187" s="13"/>
      <c r="F187" s="19"/>
      <c r="G187" s="19"/>
    </row>
    <row r="188" spans="1:8" s="20" customFormat="1" hidden="1">
      <c r="A188" s="21"/>
      <c r="C188" s="4"/>
      <c r="D188" s="4"/>
      <c r="E188" s="13"/>
      <c r="F188" s="19"/>
      <c r="G188" s="19"/>
    </row>
    <row r="189" spans="1:8" s="20" customFormat="1" hidden="1">
      <c r="A189" s="21"/>
      <c r="C189" s="4"/>
      <c r="D189" s="4"/>
      <c r="E189" s="13"/>
      <c r="F189" s="19"/>
      <c r="G189" s="19"/>
    </row>
    <row r="190" spans="1:8" s="20" customFormat="1" hidden="1">
      <c r="A190" s="21"/>
      <c r="C190" s="4"/>
      <c r="D190" s="4"/>
      <c r="E190" s="13"/>
      <c r="F190" s="19"/>
      <c r="G190" s="19"/>
    </row>
    <row r="191" spans="1:8" s="20" customFormat="1" hidden="1">
      <c r="A191" s="21"/>
      <c r="C191" s="4"/>
      <c r="D191" s="4"/>
      <c r="E191" s="13"/>
      <c r="F191" s="19"/>
      <c r="G191" s="19"/>
    </row>
    <row r="192" spans="1:8" s="20" customFormat="1" hidden="1">
      <c r="A192" s="21"/>
      <c r="C192" s="4"/>
      <c r="D192" s="4"/>
      <c r="E192" s="13"/>
      <c r="F192" s="19"/>
      <c r="G192" s="19"/>
    </row>
    <row r="193" spans="3:7" s="20" customFormat="1" hidden="1">
      <c r="C193" s="4"/>
      <c r="D193" s="4"/>
      <c r="E193" s="13"/>
      <c r="F193" s="19"/>
      <c r="G193" s="19"/>
    </row>
    <row r="194" spans="3:7" s="20" customFormat="1" hidden="1">
      <c r="C194" s="4"/>
      <c r="D194" s="4"/>
      <c r="E194" s="13"/>
      <c r="F194" s="19"/>
      <c r="G194" s="19"/>
    </row>
    <row r="195" spans="3:7" s="20" customFormat="1" hidden="1">
      <c r="C195" s="4"/>
      <c r="D195" s="4"/>
      <c r="E195" s="13"/>
      <c r="F195" s="19"/>
      <c r="G195" s="19"/>
    </row>
    <row r="196" spans="3:7" s="20" customFormat="1" hidden="1">
      <c r="C196" s="4"/>
      <c r="D196" s="4"/>
      <c r="E196" s="13"/>
      <c r="F196" s="19"/>
      <c r="G196" s="19"/>
    </row>
    <row r="197" spans="3:7" s="20" customFormat="1" hidden="1">
      <c r="C197" s="4"/>
      <c r="D197" s="4"/>
      <c r="E197" s="13"/>
      <c r="F197" s="19"/>
      <c r="G197" s="19"/>
    </row>
    <row r="198" spans="3:7" s="20" customFormat="1" hidden="1">
      <c r="C198" s="4"/>
      <c r="D198" s="4"/>
      <c r="E198" s="13"/>
      <c r="F198" s="19"/>
      <c r="G198" s="19"/>
    </row>
    <row r="199" spans="3:7" s="20" customFormat="1" hidden="1">
      <c r="C199" s="4"/>
      <c r="D199" s="4"/>
      <c r="E199" s="13"/>
      <c r="F199" s="19"/>
      <c r="G199" s="19"/>
    </row>
    <row r="200" spans="3:7" s="20" customFormat="1" hidden="1">
      <c r="C200" s="4"/>
      <c r="D200" s="4"/>
      <c r="E200" s="13"/>
      <c r="F200" s="19"/>
      <c r="G200" s="19"/>
    </row>
    <row r="201" spans="3:7" s="20" customFormat="1" hidden="1">
      <c r="C201" s="4"/>
      <c r="D201" s="4"/>
      <c r="E201" s="13"/>
      <c r="F201" s="19"/>
      <c r="G201" s="19"/>
    </row>
    <row r="202" spans="3:7" s="20" customFormat="1" hidden="1">
      <c r="C202" s="4"/>
      <c r="D202" s="4"/>
      <c r="E202" s="13"/>
      <c r="F202" s="19"/>
      <c r="G202" s="19"/>
    </row>
    <row r="203" spans="3:7" s="20" customFormat="1" hidden="1">
      <c r="C203" s="4"/>
      <c r="D203" s="4"/>
      <c r="E203" s="13"/>
      <c r="F203" s="19"/>
      <c r="G203" s="19"/>
    </row>
    <row r="204" spans="3:7" s="20" customFormat="1" hidden="1">
      <c r="C204" s="4"/>
      <c r="D204" s="4"/>
      <c r="E204" s="13"/>
      <c r="F204" s="19"/>
      <c r="G204" s="19"/>
    </row>
    <row r="205" spans="3:7" s="20" customFormat="1" hidden="1">
      <c r="C205" s="4"/>
      <c r="D205" s="4"/>
      <c r="E205" s="13"/>
      <c r="F205" s="19"/>
      <c r="G205" s="19"/>
    </row>
    <row r="206" spans="3:7" s="20" customFormat="1" hidden="1">
      <c r="C206" s="4"/>
      <c r="D206" s="4"/>
      <c r="E206" s="13"/>
      <c r="F206" s="19"/>
      <c r="G206" s="19"/>
    </row>
    <row r="207" spans="3:7" s="20" customFormat="1" hidden="1">
      <c r="C207" s="4"/>
      <c r="D207" s="4"/>
      <c r="E207" s="13"/>
      <c r="F207" s="19"/>
      <c r="G207" s="19"/>
    </row>
    <row r="208" spans="3:7" s="20" customFormat="1" hidden="1">
      <c r="C208" s="4"/>
      <c r="D208" s="4"/>
      <c r="E208" s="13"/>
      <c r="F208" s="19"/>
      <c r="G208" s="19"/>
    </row>
    <row r="209" spans="3:8" s="20" customFormat="1" hidden="1">
      <c r="C209" s="4"/>
      <c r="D209" s="4"/>
      <c r="E209" s="13"/>
      <c r="F209" s="19"/>
      <c r="G209" s="19"/>
    </row>
    <row r="210" spans="3:8" s="20" customFormat="1" hidden="1">
      <c r="C210" s="4"/>
      <c r="D210" s="4"/>
      <c r="E210" s="13"/>
      <c r="F210" s="19"/>
      <c r="G210" s="19"/>
    </row>
    <row r="211" spans="3:8" s="20" customFormat="1" hidden="1">
      <c r="C211" s="4"/>
      <c r="D211" s="4"/>
      <c r="E211" s="13"/>
      <c r="F211" s="19"/>
      <c r="G211" s="19"/>
    </row>
    <row r="212" spans="3:8" s="20" customFormat="1" hidden="1">
      <c r="C212" s="4"/>
      <c r="D212" s="4"/>
      <c r="E212" s="13"/>
      <c r="F212" s="19"/>
      <c r="G212" s="19"/>
    </row>
    <row r="213" spans="3:8" s="20" customFormat="1" hidden="1">
      <c r="C213" s="4"/>
      <c r="D213" s="4"/>
      <c r="E213" s="13"/>
      <c r="F213" s="19"/>
      <c r="G213" s="19"/>
    </row>
    <row r="214" spans="3:8" s="20" customFormat="1" hidden="1">
      <c r="C214" s="4"/>
      <c r="D214" s="4"/>
      <c r="E214" s="13"/>
      <c r="F214" s="19"/>
      <c r="G214" s="19"/>
      <c r="H214" s="4"/>
    </row>
    <row r="215" spans="3:8" hidden="1"/>
    <row r="216" spans="3:8" hidden="1"/>
    <row r="217" spans="3:8" hidden="1"/>
    <row r="218" spans="3:8" hidden="1"/>
    <row r="219" spans="3:8" hidden="1"/>
    <row r="220" spans="3:8" hidden="1"/>
    <row r="221" spans="3:8" hidden="1"/>
    <row r="222" spans="3:8" hidden="1"/>
    <row r="223" spans="3:8" hidden="1"/>
    <row r="224" spans="3: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sheetData>
  <mergeCells count="6">
    <mergeCell ref="C1:D1"/>
    <mergeCell ref="E1:F1"/>
    <mergeCell ref="C2:D2"/>
    <mergeCell ref="E2:F2"/>
    <mergeCell ref="C3:D3"/>
    <mergeCell ref="E3:F3"/>
  </mergeCells>
  <conditionalFormatting sqref="D7:D12">
    <cfRule type="cellIs" dxfId="424" priority="2" stopIfTrue="1" operator="greaterThan">
      <formula>50</formula>
    </cfRule>
    <cfRule type="cellIs" dxfId="423" priority="11" stopIfTrue="1" operator="equal">
      <formula>0</formula>
    </cfRule>
  </conditionalFormatting>
  <conditionalFormatting sqref="D7:D61">
    <cfRule type="cellIs" dxfId="422" priority="9" stopIfTrue="1" operator="between">
      <formula>-0.1</formula>
      <formula>-50</formula>
    </cfRule>
    <cfRule type="cellIs" dxfId="421" priority="10" stopIfTrue="1" operator="between">
      <formula>0.1</formula>
      <formula>50</formula>
    </cfRule>
  </conditionalFormatting>
  <conditionalFormatting sqref="G152:G181 G7:G150">
    <cfRule type="cellIs" dxfId="420" priority="7" stopIfTrue="1" operator="between">
      <formula>-0.1</formula>
      <formula>-50</formula>
    </cfRule>
    <cfRule type="cellIs" dxfId="419" priority="8" stopIfTrue="1" operator="between">
      <formula>0.1</formula>
      <formula>50</formula>
    </cfRule>
  </conditionalFormatting>
  <conditionalFormatting sqref="D111:D155">
    <cfRule type="cellIs" dxfId="418" priority="5" stopIfTrue="1" operator="between">
      <formula>-0.1</formula>
      <formula>-50</formula>
    </cfRule>
    <cfRule type="cellIs" dxfId="417" priority="6" stopIfTrue="1" operator="between">
      <formula>0.1</formula>
      <formula>50</formula>
    </cfRule>
  </conditionalFormatting>
  <conditionalFormatting sqref="G165">
    <cfRule type="expression" dxfId="416" priority="4" stopIfTrue="1">
      <formula>AND($G$165&gt;0,$G$151&gt;0)</formula>
    </cfRule>
  </conditionalFormatting>
  <conditionalFormatting sqref="G151">
    <cfRule type="expression" dxfId="415" priority="1" stopIfTrue="1">
      <formula>AND($G$151&gt;0,$G$165&gt;0)</formula>
    </cfRule>
  </conditionalFormatting>
  <dataValidations count="11">
    <dataValidation type="custom" operator="greaterThan" showInputMessage="1" showErrorMessage="1" errorTitle="RDM" error="No se admite ingresar RDM como ingresos y egresos a la vez. Tampoco se admiten valores menores a $50._x000a_" sqref="G151">
      <formula1>AND(OR(G151=0, G151&gt;50),G165=0)</formula1>
    </dataValidation>
    <dataValidation type="whole" operator="greaterThan" allowBlank="1" showInputMessage="1" showErrorMessage="1" sqref="D8:D12">
      <formula1>50</formula1>
    </dataValidation>
    <dataValidation type="whole" operator="greaterThan" showInputMessage="1" showErrorMessage="1" errorTitle="eee" error="Valores mayores a $50" sqref="D7">
      <formula1>50</formula1>
    </dataValidation>
    <dataValidation type="custom" operator="greaterThan" showInputMessage="1" showErrorMessage="1" errorTitle="eee" sqref="D56">
      <formula1>OR(D56=0, D56&lt;50)</formula1>
    </dataValidation>
    <dataValidation type="custom" operator="greaterThan" showInputMessage="1" showErrorMessage="1" errorTitle="eee" sqref="D57:D61">
      <formula1>OR(D57=0, D57&lt;0)</formula1>
    </dataValidation>
    <dataValidation type="custom" operator="greaterThan" showInputMessage="1" showErrorMessage="1" errorTitle="eee" sqref="G7:G140 D62:D155 G152:G164 G166:G181 G144:G150 D13:D55">
      <formula1>OR(D7=0, D7&gt;50)</formula1>
    </dataValidation>
    <dataValidation type="whole" allowBlank="1" showErrorMessage="1" errorTitle="Error de datos" error="Debe ingresar un valor entre 1 y 12" sqref="G1:G3">
      <formula1>1</formula1>
      <formula2>12</formula2>
    </dataValidation>
    <dataValidation allowBlank="1" errorTitle="Error de datos" error="Debe introducir una fecha válida" sqref="E3"/>
    <dataValidation allowBlank="1" sqref="G204"/>
    <dataValidation operator="greaterThanOrEqual" allowBlank="1" errorTitle="Error de datos" error="Debe ingresar un valor entero positivo" sqref="F6:F107 F203 C13:C47 C106:C153 F171 F174:F178 F180 F111:F119 C7:C10 F121:F140 F143:F169 C49:C62 C155 F109"/>
    <dataValidation type="custom" operator="greaterThan" showInputMessage="1" showErrorMessage="1" errorTitle="rdm2" error="No se admite ingresar a la vez RDM como ingresos y como egresos. Tampoco se admiten valores negattivos o positivos menores de 50" sqref="G165">
      <formula1>AND(OR(G165=0, G165&gt;50),G151=0)</formula1>
    </dataValidation>
  </dataValidations>
  <printOptions horizontalCentered="1"/>
  <pageMargins left="0.23622047244094491" right="0.23622047244094491" top="0.35433070866141736" bottom="0.74803149606299213" header="0.31496062992125984" footer="0.31496062992125984"/>
  <pageSetup paperSize="9" scale="54" fitToHeight="0" orientation="portrait" r:id="rId1"/>
  <headerFooter alignWithMargins="0"/>
  <rowBreaks count="3" manualBreakCount="3">
    <brk id="79" min="2" max="8" man="1"/>
    <brk id="181" min="2" max="8" man="1"/>
    <brk id="185" min="2" max="8" man="1"/>
  </rowBreaks>
  <ignoredErrors>
    <ignoredError sqref="E7:E1048576" numberStoredAsText="1"/>
    <ignoredError sqref="G4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76</vt:i4>
      </vt:variant>
    </vt:vector>
  </HeadingPairs>
  <TitlesOfParts>
    <vt:vector size="113" baseType="lpstr">
      <vt:lpstr>ASOC.ESPAÑOLA</vt:lpstr>
      <vt:lpstr>HOSP.EVANGÉLICO</vt:lpstr>
      <vt:lpstr>CASMU</vt:lpstr>
      <vt:lpstr>CÍRCULO CATÓLICO</vt:lpstr>
      <vt:lpstr>CUDAM</vt:lpstr>
      <vt:lpstr>COSEM</vt:lpstr>
      <vt:lpstr>GREMCA</vt:lpstr>
      <vt:lpstr>MUCAM</vt:lpstr>
      <vt:lpstr>SMI</vt:lpstr>
      <vt:lpstr>UNIVERSAL SPS</vt:lpstr>
      <vt:lpstr>GREMEDA</vt:lpstr>
      <vt:lpstr>CAAMEPA</vt:lpstr>
      <vt:lpstr>CRAMI</vt:lpstr>
      <vt:lpstr>COMECA</vt:lpstr>
      <vt:lpstr>CAMCEL</vt:lpstr>
      <vt:lpstr>CAMEC</vt:lpstr>
      <vt:lpstr>CAMOC</vt:lpstr>
      <vt:lpstr>CAMEDUR</vt:lpstr>
      <vt:lpstr>COMEFLO</vt:lpstr>
      <vt:lpstr>COMEF</vt:lpstr>
      <vt:lpstr>CAMDEL</vt:lpstr>
      <vt:lpstr>AMDM</vt:lpstr>
      <vt:lpstr>CRAME</vt:lpstr>
      <vt:lpstr>COMEPA</vt:lpstr>
      <vt:lpstr>AMEDRIN</vt:lpstr>
      <vt:lpstr>CAMY</vt:lpstr>
      <vt:lpstr>CASMER</vt:lpstr>
      <vt:lpstr>COMERI</vt:lpstr>
      <vt:lpstr>COMERO</vt:lpstr>
      <vt:lpstr>SMQSALTO</vt:lpstr>
      <vt:lpstr>AMSJ</vt:lpstr>
      <vt:lpstr>CAMS</vt:lpstr>
      <vt:lpstr>COMTA</vt:lpstr>
      <vt:lpstr>IAC</vt:lpstr>
      <vt:lpstr>TOTAL MONTEVIDEO</vt:lpstr>
      <vt:lpstr>TOTAL INTERIOR</vt:lpstr>
      <vt:lpstr>TOTAL PAÍS</vt:lpstr>
      <vt:lpstr>MUCAM!__xlnm.Print_Area</vt:lpstr>
      <vt:lpstr>MUCAM!__xlnm.Print_Titles</vt:lpstr>
      <vt:lpstr>AMDM!Área_de_impresión</vt:lpstr>
      <vt:lpstr>AMEDRIN!Área_de_impresión</vt:lpstr>
      <vt:lpstr>AMSJ!Área_de_impresión</vt:lpstr>
      <vt:lpstr>ASOC.ESPAÑOLA!Área_de_impresión</vt:lpstr>
      <vt:lpstr>CAAMEPA!Área_de_impresión</vt:lpstr>
      <vt:lpstr>CAMCEL!Área_de_impresión</vt:lpstr>
      <vt:lpstr>CAMDEL!Área_de_impresión</vt:lpstr>
      <vt:lpstr>CAMEC!Área_de_impresión</vt:lpstr>
      <vt:lpstr>CAMEDUR!Área_de_impresión</vt:lpstr>
      <vt:lpstr>CAMOC!Área_de_impresión</vt:lpstr>
      <vt:lpstr>CAMS!Área_de_impresión</vt:lpstr>
      <vt:lpstr>CAMY!Área_de_impresión</vt:lpstr>
      <vt:lpstr>CASMER!Área_de_impresión</vt:lpstr>
      <vt:lpstr>CASMU!Área_de_impresión</vt:lpstr>
      <vt:lpstr>'CÍRCULO CATÓLICO'!Área_de_impresión</vt:lpstr>
      <vt:lpstr>COMECA!Área_de_impresión</vt:lpstr>
      <vt:lpstr>COMEF!Área_de_impresión</vt:lpstr>
      <vt:lpstr>COMEFLO!Área_de_impresión</vt:lpstr>
      <vt:lpstr>COMEPA!Área_de_impresión</vt:lpstr>
      <vt:lpstr>COMERI!Área_de_impresión</vt:lpstr>
      <vt:lpstr>COMERO!Área_de_impresión</vt:lpstr>
      <vt:lpstr>COMTA!Área_de_impresión</vt:lpstr>
      <vt:lpstr>COSEM!Área_de_impresión</vt:lpstr>
      <vt:lpstr>CRAME!Área_de_impresión</vt:lpstr>
      <vt:lpstr>CRAMI!Área_de_impresión</vt:lpstr>
      <vt:lpstr>CUDAM!Área_de_impresión</vt:lpstr>
      <vt:lpstr>GREMCA!Área_de_impresión</vt:lpstr>
      <vt:lpstr>GREMEDA!Área_de_impresión</vt:lpstr>
      <vt:lpstr>HOSP.EVANGÉLICO!Área_de_impresión</vt:lpstr>
      <vt:lpstr>IAC!Área_de_impresión</vt:lpstr>
      <vt:lpstr>MUCAM!Área_de_impresión</vt:lpstr>
      <vt:lpstr>SMI!Área_de_impresión</vt:lpstr>
      <vt:lpstr>SMQSALTO!Área_de_impresión</vt:lpstr>
      <vt:lpstr>'TOTAL INTERIOR'!Área_de_impresión</vt:lpstr>
      <vt:lpstr>'TOTAL MONTEVIDEO'!Área_de_impresión</vt:lpstr>
      <vt:lpstr>'TOTAL PAÍS'!Área_de_impresión</vt:lpstr>
      <vt:lpstr>'UNIVERSAL SPS'!Área_de_impresión</vt:lpstr>
      <vt:lpstr>AMDM!Títulos_a_imprimir</vt:lpstr>
      <vt:lpstr>AMEDRIN!Títulos_a_imprimir</vt:lpstr>
      <vt:lpstr>AMSJ!Títulos_a_imprimir</vt:lpstr>
      <vt:lpstr>ASOC.ESPAÑOLA!Títulos_a_imprimir</vt:lpstr>
      <vt:lpstr>CAAMEPA!Títulos_a_imprimir</vt:lpstr>
      <vt:lpstr>CAMCEL!Títulos_a_imprimir</vt:lpstr>
      <vt:lpstr>CAMDEL!Títulos_a_imprimir</vt:lpstr>
      <vt:lpstr>CAMEC!Títulos_a_imprimir</vt:lpstr>
      <vt:lpstr>CAMEDUR!Títulos_a_imprimir</vt:lpstr>
      <vt:lpstr>CAMOC!Títulos_a_imprimir</vt:lpstr>
      <vt:lpstr>CAMS!Títulos_a_imprimir</vt:lpstr>
      <vt:lpstr>CAMY!Títulos_a_imprimir</vt:lpstr>
      <vt:lpstr>CASMER!Títulos_a_imprimir</vt:lpstr>
      <vt:lpstr>CASMU!Títulos_a_imprimir</vt:lpstr>
      <vt:lpstr>'CÍRCULO CATÓLICO'!Títulos_a_imprimir</vt:lpstr>
      <vt:lpstr>COMECA!Títulos_a_imprimir</vt:lpstr>
      <vt:lpstr>COMEF!Títulos_a_imprimir</vt:lpstr>
      <vt:lpstr>COMEFLO!Títulos_a_imprimir</vt:lpstr>
      <vt:lpstr>COMEPA!Títulos_a_imprimir</vt:lpstr>
      <vt:lpstr>COMERI!Títulos_a_imprimir</vt:lpstr>
      <vt:lpstr>COMERO!Títulos_a_imprimir</vt:lpstr>
      <vt:lpstr>COMTA!Títulos_a_imprimir</vt:lpstr>
      <vt:lpstr>COSEM!Títulos_a_imprimir</vt:lpstr>
      <vt:lpstr>CRAME!Títulos_a_imprimir</vt:lpstr>
      <vt:lpstr>CRAMI!Títulos_a_imprimir</vt:lpstr>
      <vt:lpstr>CUDAM!Títulos_a_imprimir</vt:lpstr>
      <vt:lpstr>GREMCA!Títulos_a_imprimir</vt:lpstr>
      <vt:lpstr>GREMEDA!Títulos_a_imprimir</vt:lpstr>
      <vt:lpstr>HOSP.EVANGÉLICO!Títulos_a_imprimir</vt:lpstr>
      <vt:lpstr>IAC!Títulos_a_imprimir</vt:lpstr>
      <vt:lpstr>MUCAM!Títulos_a_imprimir</vt:lpstr>
      <vt:lpstr>SMI!Títulos_a_imprimir</vt:lpstr>
      <vt:lpstr>SMQSALTO!Títulos_a_imprimir</vt:lpstr>
      <vt:lpstr>'TOTAL INTERIOR'!Títulos_a_imprimir</vt:lpstr>
      <vt:lpstr>'TOTAL MONTEVIDEO'!Títulos_a_imprimir</vt:lpstr>
      <vt:lpstr>'TOTAL PAÍS'!Títulos_a_imprimir</vt:lpstr>
      <vt:lpstr>'UNIVERSAL SPS'!Títulos_a_imprimir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naldi ethel</dc:creator>
  <cp:lastModifiedBy>.</cp:lastModifiedBy>
  <dcterms:created xsi:type="dcterms:W3CDTF">2022-02-10T19:12:09Z</dcterms:created>
  <dcterms:modified xsi:type="dcterms:W3CDTF">2022-06-09T18:20:46Z</dcterms:modified>
</cp:coreProperties>
</file>