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"/>
    </mc:Choice>
  </mc:AlternateContent>
  <bookViews>
    <workbookView xWindow="0" yWindow="0" windowWidth="13170" windowHeight="10380"/>
  </bookViews>
  <sheets>
    <sheet name="CA_01" sheetId="1" r:id="rId1"/>
    <sheet name="CA_02" sheetId="2" r:id="rId2"/>
    <sheet name="CA_03" sheetId="3" r:id="rId3"/>
    <sheet name="CA_04" sheetId="4" r:id="rId4"/>
    <sheet name="CA_05" sheetId="5" r:id="rId5"/>
    <sheet name="CA_06" sheetId="6" r:id="rId6"/>
    <sheet name="CA_07 " sheetId="7" r:id="rId7"/>
    <sheet name="CA_08" sheetId="8" r:id="rId8"/>
    <sheet name="CA_09" sheetId="9" r:id="rId9"/>
    <sheet name="CA_10" sheetId="10" r:id="rId10"/>
    <sheet name="CA_11" sheetId="11" r:id="rId11"/>
    <sheet name="CA_12" sheetId="12" r:id="rId12"/>
    <sheet name="CA_13" sheetId="13" r:id="rId13"/>
    <sheet name="SL_14" sheetId="14" state="hidden" r:id="rId14"/>
    <sheet name="CA_14" sheetId="41" r:id="rId15"/>
    <sheet name="CA_15" sheetId="15" r:id="rId16"/>
    <sheet name="CA_16" sheetId="16" r:id="rId17"/>
    <sheet name="CA_17" sheetId="17" r:id="rId18"/>
    <sheet name="CA_18" sheetId="18" r:id="rId19"/>
    <sheet name="CA_19" sheetId="19" r:id="rId20"/>
    <sheet name="CA_20" sheetId="20" r:id="rId21"/>
    <sheet name="CA_21" sheetId="21" r:id="rId22"/>
    <sheet name="CA_22" sheetId="22" r:id="rId23"/>
    <sheet name="CA_23" sheetId="24" r:id="rId24"/>
    <sheet name="CA_24" sheetId="23" r:id="rId25"/>
  </sheets>
  <definedNames>
    <definedName name="_xlnm.Print_Area" localSheetId="0">CA_01!$A$1:$G$28</definedName>
  </definedNames>
  <calcPr calcId="171027"/>
</workbook>
</file>

<file path=xl/calcChain.xml><?xml version="1.0" encoding="utf-8"?>
<calcChain xmlns="http://schemas.openxmlformats.org/spreadsheetml/2006/main">
  <c r="J16" i="3" l="1"/>
  <c r="J18" i="23" l="1"/>
  <c r="J17" i="23"/>
  <c r="J16" i="23"/>
  <c r="J15" i="23"/>
  <c r="J14" i="23"/>
  <c r="J13" i="23"/>
  <c r="J12" i="23"/>
  <c r="J11" i="23"/>
  <c r="J10" i="23"/>
  <c r="J19" i="24"/>
  <c r="J18" i="24"/>
  <c r="J17" i="24"/>
  <c r="J16" i="24"/>
  <c r="J15" i="24"/>
  <c r="J14" i="24"/>
  <c r="J13" i="24"/>
  <c r="J12" i="24"/>
  <c r="J11" i="24"/>
  <c r="J10" i="24"/>
  <c r="J17" i="22"/>
  <c r="J16" i="22"/>
  <c r="J15" i="22"/>
  <c r="J14" i="22"/>
  <c r="J13" i="22"/>
  <c r="J12" i="22"/>
  <c r="J11" i="22"/>
  <c r="J10" i="22"/>
  <c r="J18" i="21"/>
  <c r="J17" i="21"/>
  <c r="J16" i="21"/>
  <c r="J15" i="21"/>
  <c r="J14" i="21"/>
  <c r="J13" i="21"/>
  <c r="J12" i="21"/>
  <c r="J11" i="21"/>
  <c r="J10" i="21"/>
  <c r="J19" i="20"/>
  <c r="J18" i="20"/>
  <c r="J17" i="20"/>
  <c r="J16" i="20"/>
  <c r="J15" i="20"/>
  <c r="J14" i="20"/>
  <c r="J13" i="20"/>
  <c r="J12" i="20"/>
  <c r="J11" i="20"/>
  <c r="J10" i="20"/>
  <c r="J19" i="19"/>
  <c r="J18" i="19"/>
  <c r="J17" i="19"/>
  <c r="J16" i="19"/>
  <c r="J15" i="19"/>
  <c r="J14" i="19"/>
  <c r="J13" i="19"/>
  <c r="J12" i="19"/>
  <c r="J11" i="19"/>
  <c r="J10" i="19"/>
  <c r="E19" i="18"/>
  <c r="E20" i="18"/>
  <c r="E21" i="18"/>
  <c r="E22" i="18"/>
  <c r="E23" i="18"/>
  <c r="E24" i="18"/>
  <c r="J18" i="18"/>
  <c r="J17" i="18"/>
  <c r="J16" i="18"/>
  <c r="J15" i="18"/>
  <c r="J14" i="18"/>
  <c r="J13" i="18"/>
  <c r="J12" i="18"/>
  <c r="J11" i="18"/>
  <c r="J10" i="18"/>
  <c r="J17" i="17"/>
  <c r="J16" i="17"/>
  <c r="J15" i="17"/>
  <c r="J14" i="17"/>
  <c r="J13" i="17"/>
  <c r="J12" i="17"/>
  <c r="J11" i="17"/>
  <c r="J10" i="17"/>
  <c r="J18" i="16"/>
  <c r="J17" i="16"/>
  <c r="J16" i="16"/>
  <c r="J15" i="16"/>
  <c r="J14" i="16"/>
  <c r="J13" i="16"/>
  <c r="J12" i="16"/>
  <c r="J11" i="16"/>
  <c r="J10" i="16"/>
  <c r="J17" i="15"/>
  <c r="J16" i="15"/>
  <c r="J15" i="15"/>
  <c r="J14" i="15"/>
  <c r="J13" i="15"/>
  <c r="J12" i="15"/>
  <c r="J11" i="15"/>
  <c r="J10" i="15"/>
  <c r="J18" i="41"/>
  <c r="F23" i="41" s="1"/>
  <c r="J17" i="41"/>
  <c r="F22" i="41" s="1"/>
  <c r="J16" i="41"/>
  <c r="J15" i="41"/>
  <c r="J14" i="41"/>
  <c r="J13" i="41"/>
  <c r="J12" i="41"/>
  <c r="F17" i="41" s="1"/>
  <c r="J11" i="41"/>
  <c r="F16" i="41" s="1"/>
  <c r="J10" i="41"/>
  <c r="F15" i="41" s="1"/>
  <c r="F26" i="41"/>
  <c r="E26" i="41"/>
  <c r="E25" i="41"/>
  <c r="F24" i="41"/>
  <c r="E24" i="41"/>
  <c r="E23" i="41"/>
  <c r="E22" i="41"/>
  <c r="E21" i="41"/>
  <c r="F25" i="41"/>
  <c r="F20" i="41"/>
  <c r="E20" i="41"/>
  <c r="E19" i="41"/>
  <c r="E18" i="41"/>
  <c r="E17" i="41"/>
  <c r="F21" i="41"/>
  <c r="E16" i="41"/>
  <c r="E15" i="41"/>
  <c r="F19" i="41"/>
  <c r="F18" i="41"/>
  <c r="J8" i="41"/>
  <c r="K13" i="41" l="1"/>
  <c r="K10" i="41"/>
  <c r="K14" i="41"/>
  <c r="K16" i="41"/>
  <c r="K18" i="41"/>
  <c r="L22" i="41" s="1"/>
  <c r="L21" i="41"/>
  <c r="K11" i="41"/>
  <c r="K12" i="41"/>
  <c r="K15" i="41"/>
  <c r="K17" i="41"/>
  <c r="J16" i="13" l="1"/>
  <c r="J15" i="13"/>
  <c r="J14" i="13"/>
  <c r="J13" i="13"/>
  <c r="J12" i="13"/>
  <c r="J11" i="13"/>
  <c r="J10" i="13"/>
  <c r="J16" i="12"/>
  <c r="J15" i="12"/>
  <c r="J14" i="12"/>
  <c r="J13" i="12"/>
  <c r="J12" i="12"/>
  <c r="J11" i="12"/>
  <c r="J10" i="12"/>
  <c r="J16" i="11"/>
  <c r="J15" i="11"/>
  <c r="J14" i="11"/>
  <c r="J13" i="11"/>
  <c r="J12" i="11"/>
  <c r="J11" i="11"/>
  <c r="J10" i="11"/>
  <c r="J15" i="10"/>
  <c r="J14" i="10"/>
  <c r="J13" i="10"/>
  <c r="J12" i="10"/>
  <c r="J11" i="10"/>
  <c r="J10" i="10"/>
  <c r="J17" i="9"/>
  <c r="J16" i="9"/>
  <c r="J15" i="9"/>
  <c r="J14" i="9"/>
  <c r="J13" i="9"/>
  <c r="J12" i="9"/>
  <c r="J11" i="9"/>
  <c r="J10" i="9"/>
  <c r="J15" i="8" l="1"/>
  <c r="J14" i="8"/>
  <c r="J13" i="8"/>
  <c r="J12" i="8"/>
  <c r="J11" i="8"/>
  <c r="J10" i="8"/>
  <c r="J16" i="7"/>
  <c r="J15" i="7"/>
  <c r="J14" i="7"/>
  <c r="J13" i="7"/>
  <c r="J12" i="7"/>
  <c r="J10" i="7"/>
  <c r="J11" i="7"/>
  <c r="J15" i="6"/>
  <c r="J14" i="6"/>
  <c r="J13" i="6"/>
  <c r="J12" i="6"/>
  <c r="J11" i="6"/>
  <c r="J10" i="6"/>
  <c r="J15" i="5"/>
  <c r="J14" i="5"/>
  <c r="J13" i="5"/>
  <c r="J11" i="5"/>
  <c r="J10" i="5"/>
  <c r="J12" i="5"/>
  <c r="J16" i="4"/>
  <c r="J15" i="4"/>
  <c r="J14" i="4"/>
  <c r="J13" i="4"/>
  <c r="J12" i="4"/>
  <c r="J11" i="4"/>
  <c r="J10" i="4"/>
  <c r="J17" i="3"/>
  <c r="J15" i="3"/>
  <c r="J14" i="3"/>
  <c r="J13" i="3"/>
  <c r="J12" i="3"/>
  <c r="J11" i="3"/>
  <c r="J10" i="3"/>
  <c r="J17" i="2"/>
  <c r="J16" i="2"/>
  <c r="J15" i="2"/>
  <c r="J14" i="2"/>
  <c r="J13" i="2"/>
  <c r="J12" i="2"/>
  <c r="J11" i="2"/>
  <c r="J10" i="2"/>
  <c r="J18" i="1"/>
  <c r="J17" i="1"/>
  <c r="J16" i="1"/>
  <c r="J15" i="1"/>
  <c r="J14" i="1"/>
  <c r="J13" i="1"/>
  <c r="J12" i="1"/>
  <c r="J11" i="1"/>
  <c r="J10" i="1"/>
  <c r="F26" i="24" l="1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E19" i="24"/>
  <c r="E18" i="24"/>
  <c r="F17" i="24"/>
  <c r="E17" i="24"/>
  <c r="F16" i="24"/>
  <c r="E16" i="24"/>
  <c r="E15" i="24"/>
  <c r="F19" i="24"/>
  <c r="F18" i="24"/>
  <c r="F15" i="24"/>
  <c r="J8" i="24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E19" i="23"/>
  <c r="E18" i="23"/>
  <c r="F17" i="23"/>
  <c r="E17" i="23"/>
  <c r="F16" i="23"/>
  <c r="E16" i="23"/>
  <c r="E15" i="23"/>
  <c r="F19" i="23"/>
  <c r="F18" i="23"/>
  <c r="F15" i="23"/>
  <c r="J8" i="23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E19" i="22"/>
  <c r="E18" i="22"/>
  <c r="F17" i="22"/>
  <c r="E17" i="22"/>
  <c r="F16" i="22"/>
  <c r="E16" i="22"/>
  <c r="E15" i="22"/>
  <c r="F19" i="22"/>
  <c r="F18" i="22"/>
  <c r="F15" i="22"/>
  <c r="J8" i="22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E19" i="21"/>
  <c r="E18" i="21"/>
  <c r="F17" i="21"/>
  <c r="E17" i="21"/>
  <c r="F16" i="21"/>
  <c r="E16" i="21"/>
  <c r="E15" i="21"/>
  <c r="F19" i="21"/>
  <c r="F18" i="21"/>
  <c r="F15" i="21"/>
  <c r="J8" i="21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E18" i="20"/>
  <c r="F17" i="20"/>
  <c r="E17" i="20"/>
  <c r="E16" i="20"/>
  <c r="F15" i="20"/>
  <c r="E15" i="20"/>
  <c r="F18" i="20"/>
  <c r="F16" i="20"/>
  <c r="J8" i="20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E19" i="19"/>
  <c r="E18" i="19"/>
  <c r="F17" i="19"/>
  <c r="E17" i="19"/>
  <c r="F16" i="19"/>
  <c r="E16" i="19"/>
  <c r="E15" i="19"/>
  <c r="F19" i="19"/>
  <c r="F18" i="19"/>
  <c r="F15" i="19"/>
  <c r="J8" i="19"/>
  <c r="F26" i="18"/>
  <c r="E26" i="18"/>
  <c r="F25" i="18"/>
  <c r="E25" i="18"/>
  <c r="F24" i="18"/>
  <c r="F23" i="18"/>
  <c r="F22" i="18"/>
  <c r="F21" i="18"/>
  <c r="F20" i="18"/>
  <c r="E18" i="18"/>
  <c r="F17" i="18"/>
  <c r="E17" i="18"/>
  <c r="F16" i="18"/>
  <c r="E16" i="18"/>
  <c r="E15" i="18"/>
  <c r="F19" i="18"/>
  <c r="F18" i="18"/>
  <c r="F15" i="18"/>
  <c r="J8" i="18"/>
  <c r="K16" i="18" l="1"/>
  <c r="K17" i="18"/>
  <c r="K18" i="18"/>
  <c r="L22" i="18" s="1"/>
  <c r="K14" i="18"/>
  <c r="K15" i="18"/>
  <c r="K11" i="20"/>
  <c r="K18" i="20"/>
  <c r="K17" i="20"/>
  <c r="K16" i="20"/>
  <c r="K15" i="20"/>
  <c r="K19" i="20"/>
  <c r="L22" i="20" s="1"/>
  <c r="K15" i="21"/>
  <c r="K18" i="21"/>
  <c r="L22" i="21" s="1"/>
  <c r="K17" i="21"/>
  <c r="K16" i="21"/>
  <c r="K15" i="22"/>
  <c r="K17" i="22"/>
  <c r="L22" i="22" s="1"/>
  <c r="K16" i="22"/>
  <c r="K15" i="24"/>
  <c r="K17" i="24"/>
  <c r="K16" i="24"/>
  <c r="K19" i="24"/>
  <c r="L22" i="24" s="1"/>
  <c r="K18" i="24"/>
  <c r="K15" i="23"/>
  <c r="K18" i="23"/>
  <c r="L22" i="23" s="1"/>
  <c r="K17" i="23"/>
  <c r="K16" i="23"/>
  <c r="K18" i="19"/>
  <c r="K16" i="19"/>
  <c r="K17" i="19"/>
  <c r="K15" i="19"/>
  <c r="K19" i="19"/>
  <c r="L22" i="19" s="1"/>
  <c r="K10" i="20"/>
  <c r="K12" i="20"/>
  <c r="K13" i="24"/>
  <c r="K10" i="24"/>
  <c r="K14" i="24"/>
  <c r="L21" i="24"/>
  <c r="K11" i="24"/>
  <c r="K12" i="24"/>
  <c r="K13" i="23"/>
  <c r="K10" i="23"/>
  <c r="K14" i="23"/>
  <c r="L21" i="23"/>
  <c r="K11" i="23"/>
  <c r="K12" i="23"/>
  <c r="K10" i="22"/>
  <c r="K14" i="22"/>
  <c r="L21" i="22"/>
  <c r="K13" i="22"/>
  <c r="K11" i="22"/>
  <c r="K12" i="22"/>
  <c r="K13" i="21"/>
  <c r="K10" i="21"/>
  <c r="K14" i="21"/>
  <c r="L21" i="21"/>
  <c r="K11" i="21"/>
  <c r="K12" i="21"/>
  <c r="K13" i="20"/>
  <c r="K14" i="20"/>
  <c r="L21" i="20"/>
  <c r="K13" i="19"/>
  <c r="K14" i="19"/>
  <c r="K11" i="19"/>
  <c r="K10" i="19"/>
  <c r="L21" i="19"/>
  <c r="K12" i="19"/>
  <c r="K13" i="18"/>
  <c r="K11" i="18"/>
  <c r="K10" i="18"/>
  <c r="L21" i="18"/>
  <c r="K12" i="18"/>
  <c r="J13" i="14"/>
  <c r="J14" i="14"/>
  <c r="J15" i="14"/>
  <c r="J16" i="14"/>
  <c r="J17" i="14"/>
  <c r="J18" i="14"/>
  <c r="J19" i="14"/>
  <c r="J20" i="14"/>
  <c r="J12" i="14"/>
  <c r="J11" i="14"/>
  <c r="J10" i="14"/>
  <c r="J8" i="17" l="1"/>
  <c r="J8" i="16"/>
  <c r="J8" i="15"/>
  <c r="K17" i="15" s="1"/>
  <c r="L22" i="15" s="1"/>
  <c r="J8" i="14"/>
  <c r="J8" i="13"/>
  <c r="J8" i="12"/>
  <c r="K16" i="12" s="1"/>
  <c r="L22" i="12" s="1"/>
  <c r="J8" i="11"/>
  <c r="J8" i="10"/>
  <c r="J8" i="9"/>
  <c r="J8" i="8"/>
  <c r="J8" i="7"/>
  <c r="J8" i="6"/>
  <c r="J8" i="5"/>
  <c r="J8" i="4"/>
  <c r="J8" i="3"/>
  <c r="J8" i="2"/>
  <c r="J8" i="1"/>
  <c r="K16" i="17" l="1"/>
  <c r="K17" i="17"/>
  <c r="L22" i="17" s="1"/>
  <c r="K15" i="9"/>
  <c r="K17" i="9"/>
  <c r="L22" i="9" s="1"/>
  <c r="K16" i="9"/>
  <c r="K14" i="7"/>
  <c r="K16" i="7"/>
  <c r="L22" i="7" s="1"/>
  <c r="K15" i="7"/>
  <c r="K15" i="5"/>
  <c r="K16" i="5"/>
  <c r="L22" i="5" s="1"/>
  <c r="K17" i="4"/>
  <c r="L22" i="4" s="1"/>
  <c r="K16" i="4"/>
  <c r="K15" i="4"/>
  <c r="K15" i="3"/>
  <c r="K17" i="3"/>
  <c r="L22" i="3" s="1"/>
  <c r="K16" i="3"/>
  <c r="K18" i="1"/>
  <c r="L22" i="1" s="1"/>
  <c r="K17" i="1"/>
  <c r="K16" i="1"/>
  <c r="K14" i="8"/>
  <c r="K15" i="8"/>
  <c r="L22" i="8" s="1"/>
  <c r="K18" i="16"/>
  <c r="L22" i="16" s="1"/>
  <c r="K17" i="16"/>
  <c r="K16" i="16"/>
  <c r="K15" i="16"/>
  <c r="K14" i="16"/>
  <c r="K14" i="6"/>
  <c r="K15" i="6"/>
  <c r="L22" i="6" s="1"/>
  <c r="K17" i="2"/>
  <c r="L22" i="2" s="1"/>
  <c r="K16" i="2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K15" i="17"/>
  <c r="F15" i="17"/>
  <c r="E15" i="17"/>
  <c r="K14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K12" i="16"/>
  <c r="K11" i="16"/>
  <c r="K10" i="16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K16" i="15"/>
  <c r="F16" i="15"/>
  <c r="E16" i="15"/>
  <c r="K15" i="15"/>
  <c r="F15" i="15"/>
  <c r="E15" i="15"/>
  <c r="K14" i="15"/>
  <c r="K13" i="15"/>
  <c r="K12" i="15"/>
  <c r="K11" i="15"/>
  <c r="K10" i="15"/>
  <c r="F26" i="14"/>
  <c r="E26" i="14"/>
  <c r="F25" i="14"/>
  <c r="E25" i="14"/>
  <c r="F24" i="14"/>
  <c r="E24" i="14"/>
  <c r="F23" i="14"/>
  <c r="E23" i="14"/>
  <c r="F22" i="14"/>
  <c r="E22" i="14"/>
  <c r="L21" i="14"/>
  <c r="F21" i="14"/>
  <c r="E21" i="14"/>
  <c r="K20" i="14"/>
  <c r="L22" i="14" s="1"/>
  <c r="F20" i="14"/>
  <c r="E20" i="14"/>
  <c r="K19" i="14"/>
  <c r="F19" i="14"/>
  <c r="E19" i="14"/>
  <c r="K18" i="14"/>
  <c r="F18" i="14"/>
  <c r="E18" i="14"/>
  <c r="K17" i="14"/>
  <c r="F17" i="14"/>
  <c r="E17" i="14"/>
  <c r="K16" i="14"/>
  <c r="F16" i="14"/>
  <c r="E16" i="14"/>
  <c r="K15" i="14"/>
  <c r="F15" i="14"/>
  <c r="E15" i="14"/>
  <c r="K14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K17" i="13"/>
  <c r="L22" i="13" s="1"/>
  <c r="F17" i="13"/>
  <c r="E17" i="13"/>
  <c r="K16" i="13"/>
  <c r="F16" i="13"/>
  <c r="E16" i="13"/>
  <c r="K15" i="13"/>
  <c r="F15" i="13"/>
  <c r="E15" i="13"/>
  <c r="K14" i="13"/>
  <c r="K13" i="13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K15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K16" i="11"/>
  <c r="L22" i="11" s="1"/>
  <c r="F16" i="11"/>
  <c r="E16" i="11"/>
  <c r="K15" i="11"/>
  <c r="F15" i="11"/>
  <c r="E15" i="11"/>
  <c r="K14" i="11"/>
  <c r="K13" i="11"/>
  <c r="K12" i="11"/>
  <c r="K11" i="11"/>
  <c r="K10" i="11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K15" i="10"/>
  <c r="L22" i="10" s="1"/>
  <c r="F15" i="10"/>
  <c r="E15" i="10"/>
  <c r="K14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4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3" i="7"/>
  <c r="K12" i="7"/>
  <c r="K11" i="7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K15" i="2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5" i="1"/>
  <c r="K11" i="1"/>
  <c r="K12" i="1"/>
  <c r="K13" i="1"/>
  <c r="K14" i="1"/>
</calcChain>
</file>

<file path=xl/sharedStrings.xml><?xml version="1.0" encoding="utf-8"?>
<sst xmlns="http://schemas.openxmlformats.org/spreadsheetml/2006/main" count="1351" uniqueCount="108">
  <si>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</si>
  <si>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</si>
  <si>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</si>
  <si>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</si>
  <si>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</si>
  <si>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</si>
  <si>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</si>
  <si>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</si>
  <si>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</si>
  <si>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</si>
  <si>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</si>
  <si>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</si>
  <si>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</si>
  <si>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</si>
  <si>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</si>
  <si>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</si>
  <si>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</si>
  <si>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</si>
  <si>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</si>
  <si>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</si>
  <si>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</si>
  <si>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</si>
  <si>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</si>
  <si>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</si>
  <si>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</si>
  <si>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</si>
  <si>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</si>
  <si>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</si>
  <si>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</si>
  <si>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</si>
  <si>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</si>
  <si>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</si>
  <si>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</si>
  <si>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</si>
  <si>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</si>
  <si>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</si>
  <si>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</si>
  <si>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</t>
  </si>
  <si>
    <t>SL_14</t>
  </si>
  <si>
    <t>Hand Auger and Testing</t>
  </si>
  <si>
    <t>ML-76A</t>
  </si>
  <si>
    <t>Cl</t>
  </si>
  <si>
    <t>fsaCl</t>
  </si>
  <si>
    <t>clSa</t>
  </si>
  <si>
    <t>saCl</t>
  </si>
  <si>
    <t>siCl</t>
  </si>
  <si>
    <t>clSi</t>
  </si>
  <si>
    <t>Si</t>
  </si>
  <si>
    <t>fsasiCl</t>
  </si>
  <si>
    <t>siFSa</t>
  </si>
  <si>
    <t>fgrclSi</t>
  </si>
  <si>
    <t>km 51……..km 59</t>
  </si>
  <si>
    <t>Sa</t>
  </si>
  <si>
    <t>clCSa</t>
  </si>
  <si>
    <t>csaCl</t>
  </si>
  <si>
    <t>saSi</t>
  </si>
  <si>
    <t>clgrSa</t>
  </si>
  <si>
    <t>clFSa</t>
  </si>
  <si>
    <t>mcsaCl</t>
  </si>
  <si>
    <t>msasiCl</t>
  </si>
  <si>
    <t>clMCSa</t>
  </si>
  <si>
    <t>clFMSa</t>
  </si>
  <si>
    <t>fgrCSa</t>
  </si>
  <si>
    <t>CA_01</t>
  </si>
  <si>
    <t>sasiCl</t>
  </si>
  <si>
    <t>mgrsiFSa</t>
  </si>
  <si>
    <t>CA_03</t>
  </si>
  <si>
    <t>CA_02</t>
  </si>
  <si>
    <t>km 73……..km 80</t>
  </si>
  <si>
    <t>CA_04</t>
  </si>
  <si>
    <t>CA_05</t>
  </si>
  <si>
    <t>fsaSi</t>
  </si>
  <si>
    <t>fgrSi</t>
  </si>
  <si>
    <t>fgrsaSi</t>
  </si>
  <si>
    <t>CA_06</t>
  </si>
  <si>
    <t>SaCl</t>
  </si>
  <si>
    <t>mgrsaCl</t>
  </si>
  <si>
    <t>clMSa</t>
  </si>
  <si>
    <t>CA_07</t>
  </si>
  <si>
    <t>clgrCSa</t>
  </si>
  <si>
    <t>CA_08</t>
  </si>
  <si>
    <t>CA_09</t>
  </si>
  <si>
    <t>msaclSi</t>
  </si>
  <si>
    <t>CA_10</t>
  </si>
  <si>
    <t>CA_11</t>
  </si>
  <si>
    <t>CA_12</t>
  </si>
  <si>
    <t>fcsaCl</t>
  </si>
  <si>
    <t>clCFSa</t>
  </si>
  <si>
    <t>mgrclCSa</t>
  </si>
  <si>
    <t>grclFCSa</t>
  </si>
  <si>
    <t>CA_13</t>
  </si>
  <si>
    <t>CA_15</t>
  </si>
  <si>
    <t>CA_14</t>
  </si>
  <si>
    <t>fgrmsasiCl</t>
  </si>
  <si>
    <t>CA_16</t>
  </si>
  <si>
    <t>CA_17</t>
  </si>
  <si>
    <t>CA_18</t>
  </si>
  <si>
    <t>CA_19</t>
  </si>
  <si>
    <t>CA_20</t>
  </si>
  <si>
    <t>CA_21</t>
  </si>
  <si>
    <t>CA_22</t>
  </si>
  <si>
    <t>CA_23</t>
  </si>
  <si>
    <t>CA_24</t>
  </si>
  <si>
    <t>grCl</t>
  </si>
  <si>
    <t>fgrfsaCl</t>
  </si>
  <si>
    <t>fmsaCl</t>
  </si>
  <si>
    <t>orCl</t>
  </si>
  <si>
    <t>557974.03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</si>
</sst>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right"/>
    </xf>
    <xf numFmtId="0" fontId="3" fillId="0" borderId="0" xfId="0" quotePrefix="1" applyFont="1"/>
    <xf numFmtId="164" fontId="6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16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3" fontId="10" fillId="0" borderId="9" xfId="0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164" fontId="1" fillId="2" borderId="3" xfId="0" applyNumberFormat="1" applyFont="1" applyFill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164" fontId="1" fillId="2" borderId="5" xfId="0" applyNumberFormat="1" applyFont="1" applyFill="1" applyBorder="1"/>
    <xf numFmtId="0" fontId="1" fillId="0" borderId="19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2" borderId="10" xfId="0" applyNumberFormat="1" applyFont="1" applyFill="1" applyBorder="1"/>
    <xf numFmtId="0" fontId="1" fillId="0" borderId="20" xfId="0" applyFont="1" applyBorder="1"/>
    <xf numFmtId="164" fontId="1" fillId="0" borderId="5" xfId="0" applyNumberFormat="1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3" fillId="0" borderId="18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CA_01!$J$10:$J$20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24</c:v>
                </c:pt>
                <c:pt idx="3">
                  <c:v>17</c:v>
                </c:pt>
                <c:pt idx="4">
                  <c:v>24</c:v>
                </c:pt>
                <c:pt idx="5">
                  <c:v>32</c:v>
                </c:pt>
                <c:pt idx="6">
                  <c:v>33</c:v>
                </c:pt>
                <c:pt idx="7">
                  <c:v>41</c:v>
                </c:pt>
                <c:pt idx="8">
                  <c:v>51</c:v>
                </c:pt>
              </c:numCache>
            </c:numRef>
          </c:xVal>
          <c:yVal>
            <c:numRef>
              <c:f>CA_01!$K$10:$K$20</c:f>
              <c:numCache>
                <c:formatCode>\+0.00</c:formatCode>
                <c:ptCount val="11"/>
                <c:pt idx="0">
                  <c:v>53.436999999999998</c:v>
                </c:pt>
                <c:pt idx="1">
                  <c:v>52.436999999999998</c:v>
                </c:pt>
                <c:pt idx="2">
                  <c:v>51.436999999999998</c:v>
                </c:pt>
                <c:pt idx="3">
                  <c:v>50.436999999999998</c:v>
                </c:pt>
                <c:pt idx="4">
                  <c:v>49.436999999999998</c:v>
                </c:pt>
                <c:pt idx="5">
                  <c:v>48.436999999999998</c:v>
                </c:pt>
                <c:pt idx="6">
                  <c:v>47.436999999999998</c:v>
                </c:pt>
                <c:pt idx="7">
                  <c:v>46.436999999999998</c:v>
                </c:pt>
                <c:pt idx="8">
                  <c:v>45.436999999999998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CA_01!$J$10:$J$22</c:f>
              <c:numCache>
                <c:formatCode>General</c:formatCode>
                <c:ptCount val="13"/>
                <c:pt idx="0">
                  <c:v>7</c:v>
                </c:pt>
                <c:pt idx="1">
                  <c:v>14</c:v>
                </c:pt>
                <c:pt idx="2">
                  <c:v>24</c:v>
                </c:pt>
                <c:pt idx="3">
                  <c:v>17</c:v>
                </c:pt>
                <c:pt idx="4">
                  <c:v>24</c:v>
                </c:pt>
                <c:pt idx="5">
                  <c:v>32</c:v>
                </c:pt>
                <c:pt idx="6">
                  <c:v>33</c:v>
                </c:pt>
                <c:pt idx="7">
                  <c:v>41</c:v>
                </c:pt>
                <c:pt idx="8">
                  <c:v>51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CA_01!$L$10:$L$22</c:f>
              <c:numCache>
                <c:formatCode>General</c:formatCode>
                <c:ptCount val="13"/>
                <c:pt idx="11" formatCode="\+0.00">
                  <c:v>54.436999999999998</c:v>
                </c:pt>
                <c:pt idx="12" formatCode="\+0.00">
                  <c:v>45.436999999999998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in val="4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CA_10!$J$10:$J$22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26</c:v>
                </c:pt>
                <c:pt idx="4">
                  <c:v>42</c:v>
                </c:pt>
                <c:pt idx="5">
                  <c:v>53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CA_10!$K$10:$K$22</c:f>
              <c:numCache>
                <c:formatCode>\+0.00</c:formatCode>
                <c:ptCount val="13"/>
                <c:pt idx="0">
                  <c:v>55.972000000000001</c:v>
                </c:pt>
                <c:pt idx="1">
                  <c:v>54.972000000000001</c:v>
                </c:pt>
                <c:pt idx="2">
                  <c:v>53.972000000000001</c:v>
                </c:pt>
                <c:pt idx="3">
                  <c:v>52.972000000000001</c:v>
                </c:pt>
                <c:pt idx="4">
                  <c:v>51.972000000000001</c:v>
                </c:pt>
                <c:pt idx="5">
                  <c:v>49.972000000000001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A8F-BFC3-A459579E309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CA_10!$J$10:$J$22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11</c:v>
                </c:pt>
                <c:pt idx="3">
                  <c:v>26</c:v>
                </c:pt>
                <c:pt idx="4">
                  <c:v>42</c:v>
                </c:pt>
                <c:pt idx="5">
                  <c:v>53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CA_10!$L$10:$L$22</c:f>
              <c:numCache>
                <c:formatCode>General</c:formatCode>
                <c:ptCount val="13"/>
                <c:pt idx="11" formatCode="\+0.00">
                  <c:v>56.972000000000001</c:v>
                </c:pt>
                <c:pt idx="12" formatCode="\+0.00">
                  <c:v>49.972000000000001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A8F-BFC3-A459579E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2432"/>
        <c:axId val="-431991344"/>
      </c:scatterChart>
      <c:valAx>
        <c:axId val="-431992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1344"/>
        <c:crosses val="autoZero"/>
        <c:crossBetween val="midCat"/>
      </c:valAx>
      <c:valAx>
        <c:axId val="-431991344"/>
        <c:scaling>
          <c:orientation val="minMax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2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CA_11!$J$10:$J$20</c:f>
              <c:numCache>
                <c:formatCode>General</c:formatCode>
                <c:ptCount val="11"/>
                <c:pt idx="0">
                  <c:v>13</c:v>
                </c:pt>
                <c:pt idx="1">
                  <c:v>9</c:v>
                </c:pt>
                <c:pt idx="2">
                  <c:v>16</c:v>
                </c:pt>
                <c:pt idx="3">
                  <c:v>19</c:v>
                </c:pt>
                <c:pt idx="4">
                  <c:v>27</c:v>
                </c:pt>
                <c:pt idx="5">
                  <c:v>44</c:v>
                </c:pt>
                <c:pt idx="6">
                  <c:v>65</c:v>
                </c:pt>
              </c:numCache>
            </c:numRef>
          </c:xVal>
          <c:yVal>
            <c:numRef>
              <c:f>CA_11!$K$10:$K$20</c:f>
              <c:numCache>
                <c:formatCode>\+0.00</c:formatCode>
                <c:ptCount val="11"/>
                <c:pt idx="0">
                  <c:v>58.469000000000001</c:v>
                </c:pt>
                <c:pt idx="1">
                  <c:v>57.469000000000001</c:v>
                </c:pt>
                <c:pt idx="2">
                  <c:v>56.469000000000001</c:v>
                </c:pt>
                <c:pt idx="3">
                  <c:v>55.469000000000001</c:v>
                </c:pt>
                <c:pt idx="4">
                  <c:v>54.469000000000001</c:v>
                </c:pt>
                <c:pt idx="5">
                  <c:v>53.469000000000001</c:v>
                </c:pt>
                <c:pt idx="6">
                  <c:v>52.469000000000001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9-4692-BD90-D74BD32A8F7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CA_11!$J$10:$J$22</c:f>
              <c:numCache>
                <c:formatCode>General</c:formatCode>
                <c:ptCount val="13"/>
                <c:pt idx="0">
                  <c:v>13</c:v>
                </c:pt>
                <c:pt idx="1">
                  <c:v>9</c:v>
                </c:pt>
                <c:pt idx="2">
                  <c:v>16</c:v>
                </c:pt>
                <c:pt idx="3">
                  <c:v>19</c:v>
                </c:pt>
                <c:pt idx="4">
                  <c:v>27</c:v>
                </c:pt>
                <c:pt idx="5">
                  <c:v>44</c:v>
                </c:pt>
                <c:pt idx="6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CA_11!$L$10:$L$22</c:f>
              <c:numCache>
                <c:formatCode>General</c:formatCode>
                <c:ptCount val="13"/>
                <c:pt idx="11" formatCode="\+0.00">
                  <c:v>59.469000000000001</c:v>
                </c:pt>
                <c:pt idx="12" formatCode="\+0.00">
                  <c:v>52.469000000000001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9-4692-BD90-D74BD32A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3104"/>
        <c:axId val="-432012016"/>
      </c:scatterChart>
      <c:valAx>
        <c:axId val="-4320131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12016"/>
        <c:crosses val="autoZero"/>
        <c:crossBetween val="midCat"/>
      </c:valAx>
      <c:valAx>
        <c:axId val="-432012016"/>
        <c:scaling>
          <c:orientation val="minMax"/>
          <c:max val="61"/>
          <c:min val="5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3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CA_12!$J$10:$J$20</c:f>
              <c:numCache>
                <c:formatCode>General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46</c:v>
                </c:pt>
                <c:pt idx="6">
                  <c:v>64</c:v>
                </c:pt>
              </c:numCache>
            </c:numRef>
          </c:xVal>
          <c:yVal>
            <c:numRef>
              <c:f>CA_12!$K$10:$K$20</c:f>
              <c:numCache>
                <c:formatCode>\+0.00</c:formatCode>
                <c:ptCount val="11"/>
                <c:pt idx="0">
                  <c:v>56.850999999999999</c:v>
                </c:pt>
                <c:pt idx="1">
                  <c:v>55.850999999999999</c:v>
                </c:pt>
                <c:pt idx="2">
                  <c:v>54.850999999999999</c:v>
                </c:pt>
                <c:pt idx="3">
                  <c:v>53.850999999999999</c:v>
                </c:pt>
                <c:pt idx="4">
                  <c:v>52.850999999999999</c:v>
                </c:pt>
                <c:pt idx="5">
                  <c:v>51.850999999999999</c:v>
                </c:pt>
                <c:pt idx="6">
                  <c:v>50.850999999999999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1-407E-AF39-27BCAB9F99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CA_12!$J$10:$J$22</c:f>
              <c:numCache>
                <c:formatCode>General</c:formatCode>
                <c:ptCount val="13"/>
                <c:pt idx="0">
                  <c:v>7</c:v>
                </c:pt>
                <c:pt idx="1">
                  <c:v>14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46</c:v>
                </c:pt>
                <c:pt idx="6">
                  <c:v>64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CA_12!$L$10:$L$22</c:f>
              <c:numCache>
                <c:formatCode>General</c:formatCode>
                <c:ptCount val="13"/>
                <c:pt idx="11" formatCode="\+0.00">
                  <c:v>57.850999999999999</c:v>
                </c:pt>
                <c:pt idx="12" formatCode="\+0.00">
                  <c:v>50.850999999999999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1-407E-AF39-27BCAB9F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592"/>
        <c:axId val="-432009840"/>
      </c:scatterChart>
      <c:valAx>
        <c:axId val="-4320005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9840"/>
        <c:crosses val="autoZero"/>
        <c:crossBetween val="midCat"/>
      </c:valAx>
      <c:valAx>
        <c:axId val="-432009840"/>
        <c:scaling>
          <c:orientation val="minMax"/>
          <c:min val="4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CA_13!$J$10:$J$20</c:f>
              <c:numCache>
                <c:formatCode>General</c:formatCode>
                <c:ptCount val="11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  <c:pt idx="5">
                  <c:v>31</c:v>
                </c:pt>
                <c:pt idx="6">
                  <c:v>45</c:v>
                </c:pt>
                <c:pt idx="7">
                  <c:v>50</c:v>
                </c:pt>
              </c:numCache>
            </c:numRef>
          </c:xVal>
          <c:yVal>
            <c:numRef>
              <c:f>CA_13!$K$10:$K$20</c:f>
              <c:numCache>
                <c:formatCode>\+0.00</c:formatCode>
                <c:ptCount val="11"/>
                <c:pt idx="0">
                  <c:v>60.103000000000002</c:v>
                </c:pt>
                <c:pt idx="1">
                  <c:v>59.103000000000002</c:v>
                </c:pt>
                <c:pt idx="2">
                  <c:v>58.103000000000002</c:v>
                </c:pt>
                <c:pt idx="3">
                  <c:v>57.103000000000002</c:v>
                </c:pt>
                <c:pt idx="4">
                  <c:v>56.103000000000002</c:v>
                </c:pt>
                <c:pt idx="5">
                  <c:v>55.103000000000002</c:v>
                </c:pt>
                <c:pt idx="6">
                  <c:v>54.103000000000002</c:v>
                </c:pt>
                <c:pt idx="7">
                  <c:v>53.103000000000002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3-486A-8F5E-11B8CC5E49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CA_13!$J$10:$J$22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  <c:pt idx="5">
                  <c:v>31</c:v>
                </c:pt>
                <c:pt idx="6">
                  <c:v>45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CA_13!$L$10:$L$22</c:f>
              <c:numCache>
                <c:formatCode>General</c:formatCode>
                <c:ptCount val="13"/>
                <c:pt idx="11" formatCode="\+0.00">
                  <c:v>61.103000000000002</c:v>
                </c:pt>
                <c:pt idx="12" formatCode="\+0.00">
                  <c:v>53.103000000000002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3-486A-8F5E-11B8CC5E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6448"/>
        <c:axId val="-431998960"/>
      </c:scatterChart>
      <c:valAx>
        <c:axId val="-431986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8960"/>
        <c:crosses val="autoZero"/>
        <c:crossBetween val="midCat"/>
      </c:valAx>
      <c:valAx>
        <c:axId val="-431998960"/>
        <c:scaling>
          <c:orientation val="minMax"/>
          <c:min val="5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SL_14!$J$10:$J$20</c:f>
              <c:numCache>
                <c:formatCode>General</c:formatCode>
                <c:ptCount val="11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</c:numCache>
            </c:numRef>
          </c:xVal>
          <c:yVal>
            <c:numRef>
              <c:f>SL_14!$K$10:$K$20</c:f>
              <c:numCache>
                <c:formatCode>\+0.00</c:formatCode>
                <c:ptCount val="11"/>
                <c:pt idx="0">
                  <c:v>45.401000000000003</c:v>
                </c:pt>
                <c:pt idx="1">
                  <c:v>44.401000000000003</c:v>
                </c:pt>
                <c:pt idx="2">
                  <c:v>43.401000000000003</c:v>
                </c:pt>
                <c:pt idx="3">
                  <c:v>42.401000000000003</c:v>
                </c:pt>
                <c:pt idx="4">
                  <c:v>41.401000000000003</c:v>
                </c:pt>
                <c:pt idx="5">
                  <c:v>40.401000000000003</c:v>
                </c:pt>
                <c:pt idx="6">
                  <c:v>39.401000000000003</c:v>
                </c:pt>
                <c:pt idx="7">
                  <c:v>38.401000000000003</c:v>
                </c:pt>
                <c:pt idx="8">
                  <c:v>37.401000000000003</c:v>
                </c:pt>
                <c:pt idx="9">
                  <c:v>36.401000000000003</c:v>
                </c:pt>
                <c:pt idx="1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5-4C99-B77E-8DF3F7122AE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SL_14!$J$10:$J$22</c:f>
              <c:numCache>
                <c:formatCode>General</c:formatCode>
                <c:ptCount val="13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SL_14!$L$10:$L$22</c:f>
              <c:numCache>
                <c:formatCode>General</c:formatCode>
                <c:ptCount val="13"/>
                <c:pt idx="11" formatCode="\+0.00">
                  <c:v>46.401000000000003</c:v>
                </c:pt>
                <c:pt idx="12" formatCode="\+0.0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5-4C99-B77E-8DF3F712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3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CA_14!$J$10:$J$20</c:f>
              <c:numCache>
                <c:formatCode>General</c:formatCode>
                <c:ptCount val="11"/>
                <c:pt idx="0">
                  <c:v>9</c:v>
                </c:pt>
                <c:pt idx="1">
                  <c:v>16</c:v>
                </c:pt>
                <c:pt idx="2">
                  <c:v>21</c:v>
                </c:pt>
                <c:pt idx="3">
                  <c:v>19</c:v>
                </c:pt>
                <c:pt idx="4">
                  <c:v>31</c:v>
                </c:pt>
                <c:pt idx="5">
                  <c:v>41</c:v>
                </c:pt>
                <c:pt idx="6">
                  <c:v>37</c:v>
                </c:pt>
                <c:pt idx="7">
                  <c:v>43</c:v>
                </c:pt>
                <c:pt idx="8">
                  <c:v>56</c:v>
                </c:pt>
              </c:numCache>
            </c:numRef>
          </c:xVal>
          <c:yVal>
            <c:numRef>
              <c:f>CA_14!$K$10:$K$20</c:f>
              <c:numCache>
                <c:formatCode>\+0.00</c:formatCode>
                <c:ptCount val="11"/>
                <c:pt idx="0">
                  <c:v>64.715000000000003</c:v>
                </c:pt>
                <c:pt idx="1">
                  <c:v>63.715000000000003</c:v>
                </c:pt>
                <c:pt idx="2">
                  <c:v>62.715000000000003</c:v>
                </c:pt>
                <c:pt idx="3">
                  <c:v>61.715000000000003</c:v>
                </c:pt>
                <c:pt idx="4">
                  <c:v>60.715000000000003</c:v>
                </c:pt>
                <c:pt idx="5">
                  <c:v>59.715000000000003</c:v>
                </c:pt>
                <c:pt idx="6">
                  <c:v>58.715000000000003</c:v>
                </c:pt>
                <c:pt idx="7">
                  <c:v>57.715000000000003</c:v>
                </c:pt>
                <c:pt idx="8">
                  <c:v>56.715000000000003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4-41BA-ADDE-9066B7BCC0A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CA_14!$J$10:$J$22</c:f>
              <c:numCache>
                <c:formatCode>General</c:formatCode>
                <c:ptCount val="13"/>
                <c:pt idx="0">
                  <c:v>9</c:v>
                </c:pt>
                <c:pt idx="1">
                  <c:v>16</c:v>
                </c:pt>
                <c:pt idx="2">
                  <c:v>21</c:v>
                </c:pt>
                <c:pt idx="3">
                  <c:v>19</c:v>
                </c:pt>
                <c:pt idx="4">
                  <c:v>31</c:v>
                </c:pt>
                <c:pt idx="5">
                  <c:v>41</c:v>
                </c:pt>
                <c:pt idx="6">
                  <c:v>37</c:v>
                </c:pt>
                <c:pt idx="7">
                  <c:v>43</c:v>
                </c:pt>
                <c:pt idx="8">
                  <c:v>56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CA_14!$L$10:$L$22</c:f>
              <c:numCache>
                <c:formatCode>General</c:formatCode>
                <c:ptCount val="13"/>
                <c:pt idx="11" formatCode="\+0.00">
                  <c:v>65.715000000000003</c:v>
                </c:pt>
                <c:pt idx="12" formatCode="\+0.00">
                  <c:v>56.715000000000003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4-41BA-ADDE-9066B7BCC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CA_15!$J$10:$J$20</c:f>
              <c:numCache>
                <c:formatCode>General</c:formatCode>
                <c:ptCount val="11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21</c:v>
                </c:pt>
                <c:pt idx="4">
                  <c:v>17</c:v>
                </c:pt>
                <c:pt idx="5">
                  <c:v>24</c:v>
                </c:pt>
                <c:pt idx="6">
                  <c:v>42</c:v>
                </c:pt>
                <c:pt idx="7">
                  <c:v>55</c:v>
                </c:pt>
              </c:numCache>
            </c:numRef>
          </c:xVal>
          <c:yVal>
            <c:numRef>
              <c:f>CA_15!$K$10:$K$20</c:f>
              <c:numCache>
                <c:formatCode>\+0.00</c:formatCode>
                <c:ptCount val="11"/>
                <c:pt idx="0">
                  <c:v>66.965999999999994</c:v>
                </c:pt>
                <c:pt idx="1">
                  <c:v>65.965999999999994</c:v>
                </c:pt>
                <c:pt idx="2">
                  <c:v>64.965999999999994</c:v>
                </c:pt>
                <c:pt idx="3">
                  <c:v>63.965999999999994</c:v>
                </c:pt>
                <c:pt idx="4">
                  <c:v>62.965999999999994</c:v>
                </c:pt>
                <c:pt idx="5">
                  <c:v>61.965999999999994</c:v>
                </c:pt>
                <c:pt idx="6">
                  <c:v>61.465999999999994</c:v>
                </c:pt>
                <c:pt idx="7">
                  <c:v>60.965999999999994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2A-40C8-9726-DD005318A1B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CA_15!$J$10:$J$22</c:f>
              <c:numCache>
                <c:formatCode>General</c:formatCode>
                <c:ptCount val="13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21</c:v>
                </c:pt>
                <c:pt idx="4">
                  <c:v>17</c:v>
                </c:pt>
                <c:pt idx="5">
                  <c:v>24</c:v>
                </c:pt>
                <c:pt idx="6">
                  <c:v>42</c:v>
                </c:pt>
                <c:pt idx="7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CA_15!$L$10:$L$22</c:f>
              <c:numCache>
                <c:formatCode>General</c:formatCode>
                <c:ptCount val="13"/>
                <c:pt idx="11" formatCode="\+0.00">
                  <c:v>67.965999999999994</c:v>
                </c:pt>
                <c:pt idx="12" formatCode="\+0.00">
                  <c:v>60.965999999999994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2A-40C8-9726-DD005318A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6320"/>
        <c:axId val="-501307952"/>
      </c:scatterChart>
      <c:valAx>
        <c:axId val="-501306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7952"/>
        <c:crosses val="autoZero"/>
        <c:crossBetween val="midCat"/>
      </c:valAx>
      <c:valAx>
        <c:axId val="-501307952"/>
        <c:scaling>
          <c:orientation val="minMax"/>
          <c:min val="5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6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CA_16!$J$10:$J$22</c:f>
              <c:numCache>
                <c:formatCode>General</c:formatCode>
                <c:ptCount val="13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21</c:v>
                </c:pt>
                <c:pt idx="4">
                  <c:v>26</c:v>
                </c:pt>
                <c:pt idx="5">
                  <c:v>36</c:v>
                </c:pt>
                <c:pt idx="6">
                  <c:v>39</c:v>
                </c:pt>
                <c:pt idx="7">
                  <c:v>45</c:v>
                </c:pt>
                <c:pt idx="8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CA_16!$K$10:$K$22</c:f>
              <c:numCache>
                <c:formatCode>\+0.00</c:formatCode>
                <c:ptCount val="13"/>
                <c:pt idx="0">
                  <c:v>61.231000000000002</c:v>
                </c:pt>
                <c:pt idx="1">
                  <c:v>60.231000000000002</c:v>
                </c:pt>
                <c:pt idx="2">
                  <c:v>59.231000000000002</c:v>
                </c:pt>
                <c:pt idx="3">
                  <c:v>58.231000000000002</c:v>
                </c:pt>
                <c:pt idx="4">
                  <c:v>57.231000000000002</c:v>
                </c:pt>
                <c:pt idx="5">
                  <c:v>56.231000000000002</c:v>
                </c:pt>
                <c:pt idx="6">
                  <c:v>55.231000000000002</c:v>
                </c:pt>
                <c:pt idx="7">
                  <c:v>54.231000000000002</c:v>
                </c:pt>
                <c:pt idx="8">
                  <c:v>53.231000000000002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A-4CCE-AACD-2417ECC7E84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CA_16!$J$10:$J$22</c:f>
              <c:numCache>
                <c:formatCode>General</c:formatCode>
                <c:ptCount val="13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21</c:v>
                </c:pt>
                <c:pt idx="4">
                  <c:v>26</c:v>
                </c:pt>
                <c:pt idx="5">
                  <c:v>36</c:v>
                </c:pt>
                <c:pt idx="6">
                  <c:v>39</c:v>
                </c:pt>
                <c:pt idx="7">
                  <c:v>45</c:v>
                </c:pt>
                <c:pt idx="8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CA_16!$L$10:$L$22</c:f>
              <c:numCache>
                <c:formatCode>General</c:formatCode>
                <c:ptCount val="13"/>
                <c:pt idx="11" formatCode="\+0.00">
                  <c:v>62.231000000000002</c:v>
                </c:pt>
                <c:pt idx="12" formatCode="\+0.00">
                  <c:v>53.231000000000002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A-4CCE-AACD-2417ECC7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297072"/>
        <c:axId val="-501305776"/>
      </c:scatterChart>
      <c:valAx>
        <c:axId val="-5012970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5776"/>
        <c:crosses val="autoZero"/>
        <c:crossBetween val="midCat"/>
      </c:valAx>
      <c:valAx>
        <c:axId val="-501305776"/>
        <c:scaling>
          <c:orientation val="minMax"/>
          <c:min val="5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297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CA_17!$J$10:$J$20</c:f>
              <c:numCache>
                <c:formatCode>General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20</c:v>
                </c:pt>
                <c:pt idx="3">
                  <c:v>17</c:v>
                </c:pt>
                <c:pt idx="4">
                  <c:v>14</c:v>
                </c:pt>
                <c:pt idx="5">
                  <c:v>16</c:v>
                </c:pt>
                <c:pt idx="6">
                  <c:v>32</c:v>
                </c:pt>
                <c:pt idx="7">
                  <c:v>52</c:v>
                </c:pt>
              </c:numCache>
            </c:numRef>
          </c:xVal>
          <c:yVal>
            <c:numRef>
              <c:f>CA_17!$K$10:$K$20</c:f>
              <c:numCache>
                <c:formatCode>\+0.00</c:formatCode>
                <c:ptCount val="11"/>
                <c:pt idx="0">
                  <c:v>62.204999999999998</c:v>
                </c:pt>
                <c:pt idx="1">
                  <c:v>61.204999999999998</c:v>
                </c:pt>
                <c:pt idx="2">
                  <c:v>60.204999999999998</c:v>
                </c:pt>
                <c:pt idx="3">
                  <c:v>59.204999999999998</c:v>
                </c:pt>
                <c:pt idx="4">
                  <c:v>58.204999999999998</c:v>
                </c:pt>
                <c:pt idx="5">
                  <c:v>57.204999999999998</c:v>
                </c:pt>
                <c:pt idx="6">
                  <c:v>56.204999999999998</c:v>
                </c:pt>
                <c:pt idx="7">
                  <c:v>55.204999999999998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A-481A-894D-E3E9D0F0166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CA_17!$J$10:$J$22</c:f>
              <c:numCache>
                <c:formatCode>General</c:formatCode>
                <c:ptCount val="13"/>
                <c:pt idx="0">
                  <c:v>11</c:v>
                </c:pt>
                <c:pt idx="1">
                  <c:v>12</c:v>
                </c:pt>
                <c:pt idx="2">
                  <c:v>20</c:v>
                </c:pt>
                <c:pt idx="3">
                  <c:v>17</c:v>
                </c:pt>
                <c:pt idx="4">
                  <c:v>14</c:v>
                </c:pt>
                <c:pt idx="5">
                  <c:v>16</c:v>
                </c:pt>
                <c:pt idx="6">
                  <c:v>32</c:v>
                </c:pt>
                <c:pt idx="7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CA_17!$L$10:$L$22</c:f>
              <c:numCache>
                <c:formatCode>General</c:formatCode>
                <c:ptCount val="13"/>
                <c:pt idx="11" formatCode="\+0.00">
                  <c:v>63.204999999999998</c:v>
                </c:pt>
                <c:pt idx="12" formatCode="\+0.00">
                  <c:v>55.204999999999998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CA-481A-894D-E3E9D0F0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CA_18!$J$10:$J$20</c:f>
              <c:numCache>
                <c:formatCode>General</c:formatCode>
                <c:ptCount val="11"/>
                <c:pt idx="0">
                  <c:v>9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25</c:v>
                </c:pt>
                <c:pt idx="7">
                  <c:v>29</c:v>
                </c:pt>
                <c:pt idx="8">
                  <c:v>42</c:v>
                </c:pt>
              </c:numCache>
            </c:numRef>
          </c:xVal>
          <c:yVal>
            <c:numRef>
              <c:f>CA_18!$K$10:$K$20</c:f>
              <c:numCache>
                <c:formatCode>\+0.00</c:formatCode>
                <c:ptCount val="11"/>
                <c:pt idx="0">
                  <c:v>63.796999999999997</c:v>
                </c:pt>
                <c:pt idx="1">
                  <c:v>62.796999999999997</c:v>
                </c:pt>
                <c:pt idx="2">
                  <c:v>61.796999999999997</c:v>
                </c:pt>
                <c:pt idx="3">
                  <c:v>60.796999999999997</c:v>
                </c:pt>
                <c:pt idx="4">
                  <c:v>58.796999999999997</c:v>
                </c:pt>
                <c:pt idx="5">
                  <c:v>57.796999999999997</c:v>
                </c:pt>
                <c:pt idx="6">
                  <c:v>56.796999999999997</c:v>
                </c:pt>
                <c:pt idx="7">
                  <c:v>55.796999999999997</c:v>
                </c:pt>
                <c:pt idx="8">
                  <c:v>54.796999999999997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C-4119-B13D-9AD88B0B26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CA_18!$J$10:$J$22</c:f>
              <c:numCache>
                <c:formatCode>General</c:formatCode>
                <c:ptCount val="13"/>
                <c:pt idx="0">
                  <c:v>9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25</c:v>
                </c:pt>
                <c:pt idx="7">
                  <c:v>29</c:v>
                </c:pt>
                <c:pt idx="8">
                  <c:v>42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CA_18!$L$10:$L$22</c:f>
              <c:numCache>
                <c:formatCode>General</c:formatCode>
                <c:ptCount val="13"/>
                <c:pt idx="11" formatCode="\+0.00">
                  <c:v>64.796999999999997</c:v>
                </c:pt>
                <c:pt idx="12" formatCode="\+0.00">
                  <c:v>54.796999999999997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C-4119-B13D-9AD88B0B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CA_02!$J$10:$J$22</c:f>
              <c:numCache>
                <c:formatCode>General</c:formatCode>
                <c:ptCount val="13"/>
                <c:pt idx="0">
                  <c:v>13</c:v>
                </c:pt>
                <c:pt idx="1">
                  <c:v>12</c:v>
                </c:pt>
                <c:pt idx="2">
                  <c:v>19</c:v>
                </c:pt>
                <c:pt idx="3">
                  <c:v>30</c:v>
                </c:pt>
                <c:pt idx="4">
                  <c:v>36</c:v>
                </c:pt>
                <c:pt idx="5">
                  <c:v>36</c:v>
                </c:pt>
                <c:pt idx="6">
                  <c:v>42</c:v>
                </c:pt>
                <c:pt idx="7">
                  <c:v>57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CA_02!$K$10:$K$22</c:f>
              <c:numCache>
                <c:formatCode>\+0.00</c:formatCode>
                <c:ptCount val="13"/>
                <c:pt idx="0">
                  <c:v>54.997</c:v>
                </c:pt>
                <c:pt idx="1">
                  <c:v>53.997</c:v>
                </c:pt>
                <c:pt idx="2">
                  <c:v>52.997</c:v>
                </c:pt>
                <c:pt idx="3">
                  <c:v>51.997</c:v>
                </c:pt>
                <c:pt idx="4">
                  <c:v>50.997</c:v>
                </c:pt>
                <c:pt idx="5">
                  <c:v>49.997</c:v>
                </c:pt>
                <c:pt idx="6">
                  <c:v>48.997</c:v>
                </c:pt>
                <c:pt idx="7">
                  <c:v>47.997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CA_02!$J$10:$J$22</c:f>
              <c:numCache>
                <c:formatCode>General</c:formatCode>
                <c:ptCount val="13"/>
                <c:pt idx="0">
                  <c:v>13</c:v>
                </c:pt>
                <c:pt idx="1">
                  <c:v>12</c:v>
                </c:pt>
                <c:pt idx="2">
                  <c:v>19</c:v>
                </c:pt>
                <c:pt idx="3">
                  <c:v>30</c:v>
                </c:pt>
                <c:pt idx="4">
                  <c:v>36</c:v>
                </c:pt>
                <c:pt idx="5">
                  <c:v>36</c:v>
                </c:pt>
                <c:pt idx="6">
                  <c:v>42</c:v>
                </c:pt>
                <c:pt idx="7">
                  <c:v>57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CA_02!$L$10:$L$22</c:f>
              <c:numCache>
                <c:formatCode>General</c:formatCode>
                <c:ptCount val="13"/>
                <c:pt idx="11" formatCode="\+0.00">
                  <c:v>55.997</c:v>
                </c:pt>
                <c:pt idx="12" formatCode="\+0.00">
                  <c:v>47.997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in val="4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CA_19!$J$10:$J$20</c:f>
              <c:numCache>
                <c:formatCode>General</c:formatCode>
                <c:ptCount val="11"/>
                <c:pt idx="0">
                  <c:v>9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24</c:v>
                </c:pt>
                <c:pt idx="5">
                  <c:v>25</c:v>
                </c:pt>
                <c:pt idx="6">
                  <c:v>30</c:v>
                </c:pt>
                <c:pt idx="7">
                  <c:v>37</c:v>
                </c:pt>
                <c:pt idx="8">
                  <c:v>41</c:v>
                </c:pt>
                <c:pt idx="9">
                  <c:v>45</c:v>
                </c:pt>
              </c:numCache>
            </c:numRef>
          </c:xVal>
          <c:yVal>
            <c:numRef>
              <c:f>CA_19!$K$10:$K$20</c:f>
              <c:numCache>
                <c:formatCode>\+0.00</c:formatCode>
                <c:ptCount val="11"/>
                <c:pt idx="0">
                  <c:v>64.400999999999996</c:v>
                </c:pt>
                <c:pt idx="1">
                  <c:v>63.400999999999996</c:v>
                </c:pt>
                <c:pt idx="2">
                  <c:v>62.400999999999996</c:v>
                </c:pt>
                <c:pt idx="3">
                  <c:v>61.400999999999996</c:v>
                </c:pt>
                <c:pt idx="4">
                  <c:v>60.400999999999996</c:v>
                </c:pt>
                <c:pt idx="5">
                  <c:v>59.400999999999996</c:v>
                </c:pt>
                <c:pt idx="6">
                  <c:v>58.400999999999996</c:v>
                </c:pt>
                <c:pt idx="7">
                  <c:v>57.400999999999996</c:v>
                </c:pt>
                <c:pt idx="8">
                  <c:v>56.400999999999996</c:v>
                </c:pt>
                <c:pt idx="9">
                  <c:v>55.400999999999996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7-4438-9EDF-EDF42379E12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CA_19!$J$10:$J$22</c:f>
              <c:numCache>
                <c:formatCode>General</c:formatCode>
                <c:ptCount val="13"/>
                <c:pt idx="0">
                  <c:v>9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24</c:v>
                </c:pt>
                <c:pt idx="5">
                  <c:v>25</c:v>
                </c:pt>
                <c:pt idx="6">
                  <c:v>30</c:v>
                </c:pt>
                <c:pt idx="7">
                  <c:v>37</c:v>
                </c:pt>
                <c:pt idx="8">
                  <c:v>41</c:v>
                </c:pt>
                <c:pt idx="9">
                  <c:v>45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CA_19!$L$10:$L$22</c:f>
              <c:numCache>
                <c:formatCode>General</c:formatCode>
                <c:ptCount val="13"/>
                <c:pt idx="11" formatCode="\+0.00">
                  <c:v>65.400999999999996</c:v>
                </c:pt>
                <c:pt idx="12" formatCode="\+0.00">
                  <c:v>55.400999999999996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D7-4438-9EDF-EDF42379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CA_20!$J$10:$J$20</c:f>
              <c:numCache>
                <c:formatCode>General</c:formatCode>
                <c:ptCount val="11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  <c:pt idx="6">
                  <c:v>27</c:v>
                </c:pt>
                <c:pt idx="7">
                  <c:v>34</c:v>
                </c:pt>
                <c:pt idx="8">
                  <c:v>34</c:v>
                </c:pt>
                <c:pt idx="9">
                  <c:v>49</c:v>
                </c:pt>
              </c:numCache>
            </c:numRef>
          </c:xVal>
          <c:yVal>
            <c:numRef>
              <c:f>CA_20!$K$10:$K$20</c:f>
              <c:numCache>
                <c:formatCode>\+0.00</c:formatCode>
                <c:ptCount val="11"/>
                <c:pt idx="0">
                  <c:v>62.819000000000003</c:v>
                </c:pt>
                <c:pt idx="1">
                  <c:v>61.819000000000003</c:v>
                </c:pt>
                <c:pt idx="2">
                  <c:v>60.819000000000003</c:v>
                </c:pt>
                <c:pt idx="3">
                  <c:v>59.819000000000003</c:v>
                </c:pt>
                <c:pt idx="4">
                  <c:v>58.819000000000003</c:v>
                </c:pt>
                <c:pt idx="5">
                  <c:v>57.819000000000003</c:v>
                </c:pt>
                <c:pt idx="6">
                  <c:v>56.819000000000003</c:v>
                </c:pt>
                <c:pt idx="7">
                  <c:v>55.819000000000003</c:v>
                </c:pt>
                <c:pt idx="8">
                  <c:v>54.819000000000003</c:v>
                </c:pt>
                <c:pt idx="9">
                  <c:v>53.819000000000003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1-4852-A1F0-6872FC93D6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CA_20!$J$10:$J$22</c:f>
              <c:numCache>
                <c:formatCode>General</c:formatCode>
                <c:ptCount val="13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17</c:v>
                </c:pt>
                <c:pt idx="4">
                  <c:v>21</c:v>
                </c:pt>
                <c:pt idx="5">
                  <c:v>24</c:v>
                </c:pt>
                <c:pt idx="6">
                  <c:v>27</c:v>
                </c:pt>
                <c:pt idx="7">
                  <c:v>34</c:v>
                </c:pt>
                <c:pt idx="8">
                  <c:v>34</c:v>
                </c:pt>
                <c:pt idx="9">
                  <c:v>49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CA_20!$L$10:$L$22</c:f>
              <c:numCache>
                <c:formatCode>General</c:formatCode>
                <c:ptCount val="13"/>
                <c:pt idx="11" formatCode="\+0.00">
                  <c:v>63.819000000000003</c:v>
                </c:pt>
                <c:pt idx="12" formatCode="\+0.00">
                  <c:v>53.819000000000003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1-4852-A1F0-6872FC93D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CA_21!$J$10:$J$20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34</c:v>
                </c:pt>
                <c:pt idx="6">
                  <c:v>36</c:v>
                </c:pt>
                <c:pt idx="7">
                  <c:v>43</c:v>
                </c:pt>
                <c:pt idx="8">
                  <c:v>58</c:v>
                </c:pt>
              </c:numCache>
            </c:numRef>
          </c:xVal>
          <c:yVal>
            <c:numRef>
              <c:f>CA_21!$K$10:$K$20</c:f>
              <c:numCache>
                <c:formatCode>\+0.00</c:formatCode>
                <c:ptCount val="11"/>
                <c:pt idx="0">
                  <c:v>59.145000000000003</c:v>
                </c:pt>
                <c:pt idx="1">
                  <c:v>58.145000000000003</c:v>
                </c:pt>
                <c:pt idx="2">
                  <c:v>57.145000000000003</c:v>
                </c:pt>
                <c:pt idx="3">
                  <c:v>56.145000000000003</c:v>
                </c:pt>
                <c:pt idx="4">
                  <c:v>55.145000000000003</c:v>
                </c:pt>
                <c:pt idx="5">
                  <c:v>54.145000000000003</c:v>
                </c:pt>
                <c:pt idx="6">
                  <c:v>53.145000000000003</c:v>
                </c:pt>
                <c:pt idx="7">
                  <c:v>52.145000000000003</c:v>
                </c:pt>
                <c:pt idx="8">
                  <c:v>51.645000000000003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D1-44AA-ABC4-1FF2006F634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CA_21!$J$10:$J$22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34</c:v>
                </c:pt>
                <c:pt idx="6">
                  <c:v>36</c:v>
                </c:pt>
                <c:pt idx="7">
                  <c:v>43</c:v>
                </c:pt>
                <c:pt idx="8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CA_21!$L$10:$L$22</c:f>
              <c:numCache>
                <c:formatCode>General</c:formatCode>
                <c:ptCount val="13"/>
                <c:pt idx="11" formatCode="\+0.00">
                  <c:v>60.145000000000003</c:v>
                </c:pt>
                <c:pt idx="12" formatCode="\+0.00">
                  <c:v>51.645000000000003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D1-44AA-ABC4-1FF2006F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CA_22!$J$10:$J$20</c:f>
              <c:numCache>
                <c:formatCode>General</c:formatCode>
                <c:ptCount val="11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23</c:v>
                </c:pt>
                <c:pt idx="5">
                  <c:v>27</c:v>
                </c:pt>
                <c:pt idx="6">
                  <c:v>46</c:v>
                </c:pt>
                <c:pt idx="7">
                  <c:v>63</c:v>
                </c:pt>
              </c:numCache>
            </c:numRef>
          </c:xVal>
          <c:yVal>
            <c:numRef>
              <c:f>CA_22!$K$10:$K$20</c:f>
              <c:numCache>
                <c:formatCode>\+0.00</c:formatCode>
                <c:ptCount val="11"/>
                <c:pt idx="0">
                  <c:v>58.692999999999998</c:v>
                </c:pt>
                <c:pt idx="1">
                  <c:v>57.692999999999998</c:v>
                </c:pt>
                <c:pt idx="2">
                  <c:v>56.692999999999998</c:v>
                </c:pt>
                <c:pt idx="3">
                  <c:v>55.692999999999998</c:v>
                </c:pt>
                <c:pt idx="4">
                  <c:v>54.692999999999998</c:v>
                </c:pt>
                <c:pt idx="5">
                  <c:v>53.692999999999998</c:v>
                </c:pt>
                <c:pt idx="6">
                  <c:v>52.692999999999998</c:v>
                </c:pt>
                <c:pt idx="7">
                  <c:v>51.692999999999998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EA-45E4-BC9B-53C16E4F61D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CA_22!$J$10:$J$22</c:f>
              <c:numCache>
                <c:formatCode>General</c:formatCode>
                <c:ptCount val="13"/>
                <c:pt idx="0">
                  <c:v>11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23</c:v>
                </c:pt>
                <c:pt idx="5">
                  <c:v>27</c:v>
                </c:pt>
                <c:pt idx="6">
                  <c:v>46</c:v>
                </c:pt>
                <c:pt idx="7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CA_22!$L$10:$L$22</c:f>
              <c:numCache>
                <c:formatCode>General</c:formatCode>
                <c:ptCount val="13"/>
                <c:pt idx="11" formatCode="\+0.00">
                  <c:v>59.692999999999998</c:v>
                </c:pt>
                <c:pt idx="12" formatCode="\+0.00">
                  <c:v>51.692999999999998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EA-45E4-BC9B-53C16E4F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CA_23!$J$10:$J$20</c:f>
              <c:numCache>
                <c:formatCode>General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26</c:v>
                </c:pt>
                <c:pt idx="6">
                  <c:v>33</c:v>
                </c:pt>
                <c:pt idx="7">
                  <c:v>35</c:v>
                </c:pt>
                <c:pt idx="8">
                  <c:v>43</c:v>
                </c:pt>
                <c:pt idx="9">
                  <c:v>53</c:v>
                </c:pt>
              </c:numCache>
            </c:numRef>
          </c:xVal>
          <c:yVal>
            <c:numRef>
              <c:f>CA_23!$K$10:$K$20</c:f>
              <c:numCache>
                <c:formatCode>\+0.00</c:formatCode>
                <c:ptCount val="11"/>
                <c:pt idx="0">
                  <c:v>59.512</c:v>
                </c:pt>
                <c:pt idx="1">
                  <c:v>58.512</c:v>
                </c:pt>
                <c:pt idx="2">
                  <c:v>57.512</c:v>
                </c:pt>
                <c:pt idx="3">
                  <c:v>56.512</c:v>
                </c:pt>
                <c:pt idx="4">
                  <c:v>55.512</c:v>
                </c:pt>
                <c:pt idx="5">
                  <c:v>54.512</c:v>
                </c:pt>
                <c:pt idx="6">
                  <c:v>53.512</c:v>
                </c:pt>
                <c:pt idx="7">
                  <c:v>52.512</c:v>
                </c:pt>
                <c:pt idx="8">
                  <c:v>51.512</c:v>
                </c:pt>
                <c:pt idx="9">
                  <c:v>50.512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A-477B-9DB2-59726794793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CA_23!$J$10:$J$22</c:f>
              <c:numCache>
                <c:formatCode>General</c:formatCode>
                <c:ptCount val="13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26</c:v>
                </c:pt>
                <c:pt idx="6">
                  <c:v>33</c:v>
                </c:pt>
                <c:pt idx="7">
                  <c:v>35</c:v>
                </c:pt>
                <c:pt idx="8">
                  <c:v>43</c:v>
                </c:pt>
                <c:pt idx="9">
                  <c:v>53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CA_23!$L$10:$L$22</c:f>
              <c:numCache>
                <c:formatCode>General</c:formatCode>
                <c:ptCount val="13"/>
                <c:pt idx="11" formatCode="\+0.00">
                  <c:v>60.512</c:v>
                </c:pt>
                <c:pt idx="12" formatCode="\+0.00">
                  <c:v>50.512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6A-477B-9DB2-59726794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4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CA_24!$J$10:$J$20</c:f>
              <c:numCache>
                <c:formatCode>General</c:formatCode>
                <c:ptCount val="11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19</c:v>
                </c:pt>
                <c:pt idx="4">
                  <c:v>28</c:v>
                </c:pt>
                <c:pt idx="5">
                  <c:v>36</c:v>
                </c:pt>
                <c:pt idx="6">
                  <c:v>33</c:v>
                </c:pt>
                <c:pt idx="7">
                  <c:v>45</c:v>
                </c:pt>
                <c:pt idx="8">
                  <c:v>61</c:v>
                </c:pt>
              </c:numCache>
            </c:numRef>
          </c:xVal>
          <c:yVal>
            <c:numRef>
              <c:f>CA_24!$K$10:$K$20</c:f>
              <c:numCache>
                <c:formatCode>\+0.00</c:formatCode>
                <c:ptCount val="11"/>
                <c:pt idx="0">
                  <c:v>57.832999999999998</c:v>
                </c:pt>
                <c:pt idx="1">
                  <c:v>56.832999999999998</c:v>
                </c:pt>
                <c:pt idx="2">
                  <c:v>55.832999999999998</c:v>
                </c:pt>
                <c:pt idx="3">
                  <c:v>54.832999999999998</c:v>
                </c:pt>
                <c:pt idx="4">
                  <c:v>53.832999999999998</c:v>
                </c:pt>
                <c:pt idx="5">
                  <c:v>52.832999999999998</c:v>
                </c:pt>
                <c:pt idx="6">
                  <c:v>51.832999999999998</c:v>
                </c:pt>
                <c:pt idx="7">
                  <c:v>50.832999999999998</c:v>
                </c:pt>
                <c:pt idx="8">
                  <c:v>50.332999999999998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A-4C11-9239-18335ED0430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CA_24!$J$10:$J$22</c:f>
              <c:numCache>
                <c:formatCode>General</c:formatCode>
                <c:ptCount val="13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19</c:v>
                </c:pt>
                <c:pt idx="4">
                  <c:v>28</c:v>
                </c:pt>
                <c:pt idx="5">
                  <c:v>36</c:v>
                </c:pt>
                <c:pt idx="6">
                  <c:v>33</c:v>
                </c:pt>
                <c:pt idx="7">
                  <c:v>45</c:v>
                </c:pt>
                <c:pt idx="8">
                  <c:v>61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CA_24!$L$10:$L$22</c:f>
              <c:numCache>
                <c:formatCode>General</c:formatCode>
                <c:ptCount val="13"/>
                <c:pt idx="11" formatCode="\+0.00">
                  <c:v>58.832999999999998</c:v>
                </c:pt>
                <c:pt idx="12" formatCode="\+0.00">
                  <c:v>50.332999999999998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A-4C11-9239-18335ED0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4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CA_03!$J$10:$J$22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4">
                  <c:v>29</c:v>
                </c:pt>
                <c:pt idx="5">
                  <c:v>35</c:v>
                </c:pt>
                <c:pt idx="6">
                  <c:v>49</c:v>
                </c:pt>
                <c:pt idx="7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CA_03!$K$10:$K$22</c:f>
              <c:numCache>
                <c:formatCode>\+0.00</c:formatCode>
                <c:ptCount val="13"/>
                <c:pt idx="0">
                  <c:v>49.828000000000003</c:v>
                </c:pt>
                <c:pt idx="1">
                  <c:v>48.828000000000003</c:v>
                </c:pt>
                <c:pt idx="2">
                  <c:v>47.828000000000003</c:v>
                </c:pt>
                <c:pt idx="3">
                  <c:v>46.828000000000003</c:v>
                </c:pt>
                <c:pt idx="4">
                  <c:v>45.828000000000003</c:v>
                </c:pt>
                <c:pt idx="5">
                  <c:v>44.828000000000003</c:v>
                </c:pt>
                <c:pt idx="6">
                  <c:v>43.828000000000003</c:v>
                </c:pt>
                <c:pt idx="7">
                  <c:v>42.828000000000003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CA_03!$J$10:$J$22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4">
                  <c:v>29</c:v>
                </c:pt>
                <c:pt idx="5">
                  <c:v>35</c:v>
                </c:pt>
                <c:pt idx="6">
                  <c:v>49</c:v>
                </c:pt>
                <c:pt idx="7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CA_03!$L$10:$L$22</c:f>
              <c:numCache>
                <c:formatCode>General</c:formatCode>
                <c:ptCount val="13"/>
                <c:pt idx="11" formatCode="\+0.00">
                  <c:v>50.828000000000003</c:v>
                </c:pt>
                <c:pt idx="12" formatCode="\+0.00">
                  <c:v>42.828000000000003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4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CA_04!$J$10:$J$22</c:f>
              <c:numCache>
                <c:formatCode>General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22</c:v>
                </c:pt>
                <c:pt idx="3">
                  <c:v>33</c:v>
                </c:pt>
                <c:pt idx="4">
                  <c:v>34</c:v>
                </c:pt>
                <c:pt idx="5">
                  <c:v>43</c:v>
                </c:pt>
                <c:pt idx="6">
                  <c:v>46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CA_04!$K$10:$K$22</c:f>
              <c:numCache>
                <c:formatCode>\+0.00</c:formatCode>
                <c:ptCount val="13"/>
                <c:pt idx="0">
                  <c:v>47.165999999999997</c:v>
                </c:pt>
                <c:pt idx="1">
                  <c:v>46.165999999999997</c:v>
                </c:pt>
                <c:pt idx="2">
                  <c:v>45.165999999999997</c:v>
                </c:pt>
                <c:pt idx="3">
                  <c:v>44.165999999999997</c:v>
                </c:pt>
                <c:pt idx="4">
                  <c:v>43.165999999999997</c:v>
                </c:pt>
                <c:pt idx="5">
                  <c:v>42.165999999999997</c:v>
                </c:pt>
                <c:pt idx="6">
                  <c:v>41.165999999999997</c:v>
                </c:pt>
                <c:pt idx="7">
                  <c:v>40.665999999999997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CA_04!$J$10:$J$22</c:f>
              <c:numCache>
                <c:formatCode>General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22</c:v>
                </c:pt>
                <c:pt idx="3">
                  <c:v>33</c:v>
                </c:pt>
                <c:pt idx="4">
                  <c:v>34</c:v>
                </c:pt>
                <c:pt idx="5">
                  <c:v>43</c:v>
                </c:pt>
                <c:pt idx="6">
                  <c:v>46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CA_04!$L$10:$L$22</c:f>
              <c:numCache>
                <c:formatCode>General</c:formatCode>
                <c:ptCount val="13"/>
                <c:pt idx="11" formatCode="\+0.00">
                  <c:v>48.165999999999997</c:v>
                </c:pt>
                <c:pt idx="12" formatCode="\+0.00">
                  <c:v>40.665999999999997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CA_05!$J$10:$J$20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31</c:v>
                </c:pt>
                <c:pt idx="3">
                  <c:v>37</c:v>
                </c:pt>
                <c:pt idx="4">
                  <c:v>41</c:v>
                </c:pt>
                <c:pt idx="5">
                  <c:v>37</c:v>
                </c:pt>
                <c:pt idx="6">
                  <c:v>50</c:v>
                </c:pt>
              </c:numCache>
            </c:numRef>
          </c:xVal>
          <c:yVal>
            <c:numRef>
              <c:f>CA_05!$K$10:$K$20</c:f>
              <c:numCache>
                <c:formatCode>\+0.00</c:formatCode>
                <c:ptCount val="11"/>
                <c:pt idx="0">
                  <c:v>46.253</c:v>
                </c:pt>
                <c:pt idx="1">
                  <c:v>45.253</c:v>
                </c:pt>
                <c:pt idx="2">
                  <c:v>44.253</c:v>
                </c:pt>
                <c:pt idx="3">
                  <c:v>43.253</c:v>
                </c:pt>
                <c:pt idx="4">
                  <c:v>42.253</c:v>
                </c:pt>
                <c:pt idx="5">
                  <c:v>41.253</c:v>
                </c:pt>
                <c:pt idx="6">
                  <c:v>40.253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CA_05!$J$10:$J$22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31</c:v>
                </c:pt>
                <c:pt idx="3">
                  <c:v>37</c:v>
                </c:pt>
                <c:pt idx="4">
                  <c:v>41</c:v>
                </c:pt>
                <c:pt idx="5">
                  <c:v>37</c:v>
                </c:pt>
                <c:pt idx="6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CA_05!$L$10:$L$22</c:f>
              <c:numCache>
                <c:formatCode>General</c:formatCode>
                <c:ptCount val="13"/>
                <c:pt idx="11" formatCode="\+0.00">
                  <c:v>47.253</c:v>
                </c:pt>
                <c:pt idx="12" formatCode="\+0.00">
                  <c:v>40.253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in val="3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CA_06!$J$10:$J$22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CA_06!$K$10:$K$22</c:f>
              <c:numCache>
                <c:formatCode>\+0.00</c:formatCode>
                <c:ptCount val="13"/>
                <c:pt idx="0">
                  <c:v>52.640999999999998</c:v>
                </c:pt>
                <c:pt idx="1">
                  <c:v>51.640999999999998</c:v>
                </c:pt>
                <c:pt idx="2">
                  <c:v>50.640999999999998</c:v>
                </c:pt>
                <c:pt idx="3">
                  <c:v>49.640999999999998</c:v>
                </c:pt>
                <c:pt idx="4">
                  <c:v>48.640999999999998</c:v>
                </c:pt>
                <c:pt idx="5">
                  <c:v>47.640999999999998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CA_06!$J$10:$J$22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22</c:v>
                </c:pt>
                <c:pt idx="4">
                  <c:v>29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CA_06!$L$10:$L$22</c:f>
              <c:numCache>
                <c:formatCode>General</c:formatCode>
                <c:ptCount val="13"/>
                <c:pt idx="11" formatCode="\+0.00">
                  <c:v>53.640999999999998</c:v>
                </c:pt>
                <c:pt idx="12" formatCode="\+0.00">
                  <c:v>47.640999999999998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'CA_07 '!$J$10:$J$22</c:f>
              <c:numCache>
                <c:formatCode>General</c:formatCode>
                <c:ptCount val="13"/>
                <c:pt idx="0">
                  <c:v>8</c:v>
                </c:pt>
                <c:pt idx="1">
                  <c:v>15</c:v>
                </c:pt>
                <c:pt idx="2">
                  <c:v>19</c:v>
                </c:pt>
                <c:pt idx="3">
                  <c:v>25</c:v>
                </c:pt>
                <c:pt idx="4">
                  <c:v>37</c:v>
                </c:pt>
                <c:pt idx="5">
                  <c:v>43</c:v>
                </c:pt>
                <c:pt idx="6">
                  <c:v>69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'CA_07 '!$K$10:$K$22</c:f>
              <c:numCache>
                <c:formatCode>\+0.00</c:formatCode>
                <c:ptCount val="13"/>
                <c:pt idx="0">
                  <c:v>52.615000000000002</c:v>
                </c:pt>
                <c:pt idx="1">
                  <c:v>51.615000000000002</c:v>
                </c:pt>
                <c:pt idx="2">
                  <c:v>50.615000000000002</c:v>
                </c:pt>
                <c:pt idx="3">
                  <c:v>49.615000000000002</c:v>
                </c:pt>
                <c:pt idx="4">
                  <c:v>48.615000000000002</c:v>
                </c:pt>
                <c:pt idx="5">
                  <c:v>47.615000000000002</c:v>
                </c:pt>
                <c:pt idx="6">
                  <c:v>46.615000000000002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'CA_07 '!$J$10:$J$22</c:f>
              <c:numCache>
                <c:formatCode>General</c:formatCode>
                <c:ptCount val="13"/>
                <c:pt idx="0">
                  <c:v>8</c:v>
                </c:pt>
                <c:pt idx="1">
                  <c:v>15</c:v>
                </c:pt>
                <c:pt idx="2">
                  <c:v>19</c:v>
                </c:pt>
                <c:pt idx="3">
                  <c:v>25</c:v>
                </c:pt>
                <c:pt idx="4">
                  <c:v>37</c:v>
                </c:pt>
                <c:pt idx="5">
                  <c:v>43</c:v>
                </c:pt>
                <c:pt idx="6">
                  <c:v>69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'CA_07 '!$L$10:$L$22</c:f>
              <c:numCache>
                <c:formatCode>General</c:formatCode>
                <c:ptCount val="13"/>
                <c:pt idx="11" formatCode="\+0.00">
                  <c:v>53.615000000000002</c:v>
                </c:pt>
                <c:pt idx="12" formatCode="\+0.00">
                  <c:v>46.615000000000002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CA_08!$J$10:$J$22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18</c:v>
                </c:pt>
                <c:pt idx="3">
                  <c:v>33</c:v>
                </c:pt>
                <c:pt idx="4">
                  <c:v>42</c:v>
                </c:pt>
                <c:pt idx="5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CA_08!$K$10:$K$22</c:f>
              <c:numCache>
                <c:formatCode>\+0.00</c:formatCode>
                <c:ptCount val="13"/>
                <c:pt idx="0">
                  <c:v>53.817999999999998</c:v>
                </c:pt>
                <c:pt idx="1">
                  <c:v>52.817999999999998</c:v>
                </c:pt>
                <c:pt idx="2">
                  <c:v>51.817999999999998</c:v>
                </c:pt>
                <c:pt idx="3">
                  <c:v>50.817999999999998</c:v>
                </c:pt>
                <c:pt idx="4">
                  <c:v>49.817999999999998</c:v>
                </c:pt>
                <c:pt idx="5">
                  <c:v>48.817999999999998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CA_08!$J$10:$J$22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18</c:v>
                </c:pt>
                <c:pt idx="3">
                  <c:v>33</c:v>
                </c:pt>
                <c:pt idx="4">
                  <c:v>42</c:v>
                </c:pt>
                <c:pt idx="5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CA_08!$L$10:$L$22</c:f>
              <c:numCache>
                <c:formatCode>General</c:formatCode>
                <c:ptCount val="13"/>
                <c:pt idx="11" formatCode="\+0.00">
                  <c:v>54.817999999999998</c:v>
                </c:pt>
                <c:pt idx="12" formatCode="\+0.00">
                  <c:v>48.817999999999998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in val="4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CA_09!$J$10:$J$22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35</c:v>
                </c:pt>
                <c:pt idx="6">
                  <c:v>38</c:v>
                </c:pt>
                <c:pt idx="7">
                  <c:v>59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CA_09!$K$10:$K$22</c:f>
              <c:numCache>
                <c:formatCode>\+0.00</c:formatCode>
                <c:ptCount val="13"/>
                <c:pt idx="0">
                  <c:v>56.796999999999997</c:v>
                </c:pt>
                <c:pt idx="1">
                  <c:v>55.796999999999997</c:v>
                </c:pt>
                <c:pt idx="2">
                  <c:v>54.796999999999997</c:v>
                </c:pt>
                <c:pt idx="3">
                  <c:v>53.796999999999997</c:v>
                </c:pt>
                <c:pt idx="4">
                  <c:v>52.796999999999997</c:v>
                </c:pt>
                <c:pt idx="5">
                  <c:v>51.796999999999997</c:v>
                </c:pt>
                <c:pt idx="6">
                  <c:v>50.796999999999997</c:v>
                </c:pt>
                <c:pt idx="7">
                  <c:v>49.796999999999997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CA_09!$J$10:$J$22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35</c:v>
                </c:pt>
                <c:pt idx="6">
                  <c:v>38</c:v>
                </c:pt>
                <c:pt idx="7">
                  <c:v>59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CA_09!$L$10:$L$22</c:f>
              <c:numCache>
                <c:formatCode>General</c:formatCode>
                <c:ptCount val="13"/>
                <c:pt idx="11" formatCode="\+0.00">
                  <c:v>57.796999999999997</c:v>
                </c:pt>
                <c:pt idx="12" formatCode="\+0.00">
                  <c:v>49.796999999999997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in val="4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37</v>
      </c>
    </row>
    <row r="2" spans="1:13" x14ac:dyDescent="0.25">
      <c r="B2" s="18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1:13" ht="15.75" x14ac:dyDescent="0.25">
      <c r="B3" s="48"/>
      <c r="C3" s="28" t="s">
        <v>32</v>
      </c>
      <c r="D3" s="105" t="s">
        <v>68</v>
      </c>
      <c r="E3" s="107"/>
      <c r="F3" s="105" t="s">
        <v>63</v>
      </c>
      <c r="G3" s="107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>
        <v>555896404</v>
      </c>
      <c r="D5" s="57">
        <v>6203807965</v>
      </c>
      <c r="E5" s="57">
        <v>54437</v>
      </c>
      <c r="F5" s="105" t="s">
        <v>20</v>
      </c>
      <c r="G5" s="107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 t="s">
        <v>25</v>
      </c>
      <c r="D7" s="48">
        <v>20062017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102" t="s">
        <v>8</v>
      </c>
      <c r="E8" s="103"/>
      <c r="F8" s="103"/>
      <c r="G8" s="104"/>
      <c r="I8" s="39" t="s">
        <v>15</v>
      </c>
      <c r="J8" s="26">
        <f>+E5/1000</f>
        <v>54.436999999999998</v>
      </c>
      <c r="K8" s="8"/>
      <c r="L8" s="8"/>
      <c r="M8" s="38"/>
    </row>
    <row r="9" spans="1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53.436999999999998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7+7</f>
        <v>14</v>
      </c>
      <c r="K11" s="20">
        <f t="shared" ref="K11:K14" si="0">+$J$8-I11</f>
        <v>52.436999999999998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f>10+14</f>
        <v>24</v>
      </c>
      <c r="K12" s="20">
        <f t="shared" si="0"/>
        <v>51.436999999999998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>
        <v>4</v>
      </c>
      <c r="J13" s="19">
        <f>6+11</f>
        <v>17</v>
      </c>
      <c r="K13" s="20">
        <f t="shared" si="0"/>
        <v>50.436999999999998</v>
      </c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11+13</f>
        <v>24</v>
      </c>
      <c r="K14" s="20">
        <f t="shared" si="0"/>
        <v>49.436999999999998</v>
      </c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41</v>
      </c>
      <c r="I15" s="41">
        <v>6</v>
      </c>
      <c r="J15" s="19">
        <f>12+20</f>
        <v>32</v>
      </c>
      <c r="K15" s="20">
        <f t="shared" ref="K15:K18" si="1">+$J$8-I15</f>
        <v>48.436999999999998</v>
      </c>
      <c r="L15" s="8"/>
      <c r="M15" s="38"/>
    </row>
    <row r="16" spans="1:13" x14ac:dyDescent="0.25">
      <c r="B16" s="7"/>
      <c r="C16" s="8"/>
      <c r="D16" s="8"/>
      <c r="E16" s="50">
        <f t="shared" ref="E16:F19" si="2">+I11</f>
        <v>2</v>
      </c>
      <c r="F16" s="50">
        <f t="shared" si="2"/>
        <v>14</v>
      </c>
      <c r="G16" s="51" t="s">
        <v>41</v>
      </c>
      <c r="I16" s="41">
        <v>7</v>
      </c>
      <c r="J16" s="19">
        <f>16+17</f>
        <v>33</v>
      </c>
      <c r="K16" s="20">
        <f t="shared" si="1"/>
        <v>47.436999999999998</v>
      </c>
      <c r="L16" s="8"/>
      <c r="M16" s="38"/>
    </row>
    <row r="17" spans="2:13" x14ac:dyDescent="0.25">
      <c r="B17" s="7"/>
      <c r="C17" s="8"/>
      <c r="D17" s="8"/>
      <c r="E17" s="50">
        <f t="shared" si="2"/>
        <v>3</v>
      </c>
      <c r="F17" s="50">
        <f t="shared" si="2"/>
        <v>24</v>
      </c>
      <c r="G17" s="51" t="s">
        <v>58</v>
      </c>
      <c r="I17" s="41">
        <v>8</v>
      </c>
      <c r="J17" s="19">
        <f>18+23</f>
        <v>41</v>
      </c>
      <c r="K17" s="20">
        <f t="shared" si="1"/>
        <v>46.436999999999998</v>
      </c>
      <c r="L17" s="8"/>
      <c r="M17" s="38"/>
    </row>
    <row r="18" spans="2:13" x14ac:dyDescent="0.25">
      <c r="B18" s="7"/>
      <c r="C18" s="8"/>
      <c r="D18" s="8"/>
      <c r="E18" s="50">
        <f t="shared" si="2"/>
        <v>4</v>
      </c>
      <c r="F18" s="50">
        <f t="shared" si="2"/>
        <v>17</v>
      </c>
      <c r="G18" s="51" t="s">
        <v>59</v>
      </c>
      <c r="I18" s="41">
        <v>9</v>
      </c>
      <c r="J18" s="19">
        <f>23+28</f>
        <v>51</v>
      </c>
      <c r="K18" s="20">
        <f t="shared" si="1"/>
        <v>45.436999999999998</v>
      </c>
      <c r="L18" s="8"/>
      <c r="M18" s="38"/>
    </row>
    <row r="19" spans="2:13" x14ac:dyDescent="0.25">
      <c r="B19" s="7"/>
      <c r="C19" s="8"/>
      <c r="D19" s="8"/>
      <c r="E19" s="50">
        <f t="shared" si="2"/>
        <v>5</v>
      </c>
      <c r="F19" s="50">
        <f t="shared" si="2"/>
        <v>24</v>
      </c>
      <c r="G19" s="51" t="s">
        <v>59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3">+I15</f>
        <v>6</v>
      </c>
      <c r="F20" s="50">
        <f t="shared" ref="F20" si="4">+J15</f>
        <v>32</v>
      </c>
      <c r="G20" s="51" t="s">
        <v>60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5">+I16</f>
        <v>7</v>
      </c>
      <c r="F21" s="50">
        <f t="shared" si="5"/>
        <v>33</v>
      </c>
      <c r="G21" s="51" t="s">
        <v>61</v>
      </c>
      <c r="I21" s="34"/>
      <c r="J21" s="14">
        <v>0</v>
      </c>
      <c r="K21" s="15"/>
      <c r="L21" s="21">
        <f>+J8</f>
        <v>54.436999999999998</v>
      </c>
      <c r="M21" s="42" t="s">
        <v>17</v>
      </c>
    </row>
    <row r="22" spans="2:13" x14ac:dyDescent="0.25">
      <c r="B22" s="7"/>
      <c r="C22" s="8"/>
      <c r="D22" s="8"/>
      <c r="E22" s="50">
        <f t="shared" si="5"/>
        <v>8</v>
      </c>
      <c r="F22" s="50">
        <f t="shared" si="5"/>
        <v>41</v>
      </c>
      <c r="G22" s="51" t="s">
        <v>62</v>
      </c>
      <c r="I22" s="34"/>
      <c r="J22" s="10">
        <v>0</v>
      </c>
      <c r="K22" s="11"/>
      <c r="L22" s="22">
        <f>+K18</f>
        <v>45.436999999999998</v>
      </c>
      <c r="M22" s="43" t="s">
        <v>18</v>
      </c>
    </row>
    <row r="23" spans="2:13" x14ac:dyDescent="0.25">
      <c r="B23" s="7"/>
      <c r="C23" s="8"/>
      <c r="D23" s="8"/>
      <c r="E23" s="50">
        <f t="shared" si="5"/>
        <v>9</v>
      </c>
      <c r="F23" s="50">
        <f t="shared" si="5"/>
        <v>51</v>
      </c>
      <c r="G23" s="51" t="s">
        <v>62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5"/>
        <v>0</v>
      </c>
      <c r="F24" s="50">
        <f t="shared" si="5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5"/>
        <v>0</v>
      </c>
      <c r="F25" s="50">
        <f t="shared" si="5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5"/>
        <v>0</v>
      </c>
      <c r="F26" s="50">
        <f t="shared" si="5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20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83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555683749</v>
      </c>
      <c r="D5" s="57">
        <v>6205270004</v>
      </c>
      <c r="E5" s="57">
        <v>56972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56.972000000000001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55.972000000000001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5" si="0">+$J$8-I11</f>
        <v>54.972000000000001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53.972000000000001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10+16</f>
        <v>26</v>
      </c>
      <c r="K13" s="20">
        <f t="shared" si="0"/>
        <v>52.972000000000001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20+22</f>
        <v>42</v>
      </c>
      <c r="K14" s="20">
        <f t="shared" si="0"/>
        <v>51.972000000000001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41</v>
      </c>
      <c r="I15" s="41">
        <v>7</v>
      </c>
      <c r="J15" s="19">
        <f>25+28</f>
        <v>53</v>
      </c>
      <c r="K15" s="20">
        <f t="shared" si="0"/>
        <v>49.972000000000001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26</v>
      </c>
      <c r="G18" s="51" t="s">
        <v>53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42</v>
      </c>
      <c r="G19" s="51" t="s">
        <v>55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7</v>
      </c>
      <c r="F20" s="50">
        <f t="shared" si="1"/>
        <v>53</v>
      </c>
      <c r="G20" s="51" t="s">
        <v>57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56.972000000000001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49.972000000000001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84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556570124</v>
      </c>
      <c r="D5" s="57">
        <v>6206920252</v>
      </c>
      <c r="E5" s="57">
        <v>59469</v>
      </c>
      <c r="F5" s="110" t="s">
        <v>20</v>
      </c>
      <c r="G5" s="11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59.469000000000001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58.469000000000001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4+5</f>
        <v>9</v>
      </c>
      <c r="K11" s="20">
        <f t="shared" ref="K11:K16" si="0">+$J$8-I11</f>
        <v>57.469000000000001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7+9</f>
        <v>16</v>
      </c>
      <c r="K12" s="20">
        <f t="shared" si="0"/>
        <v>56.469000000000001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8+11</f>
        <v>19</v>
      </c>
      <c r="K13" s="20">
        <f t="shared" si="0"/>
        <v>55.469000000000001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13+14</f>
        <v>27</v>
      </c>
      <c r="K14" s="20">
        <f t="shared" si="0"/>
        <v>54.469000000000001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64</v>
      </c>
      <c r="I15" s="41">
        <v>6</v>
      </c>
      <c r="J15" s="19">
        <f>18+26</f>
        <v>44</v>
      </c>
      <c r="K15" s="20">
        <f t="shared" si="0"/>
        <v>53.469000000000001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45</v>
      </c>
      <c r="I16" s="41">
        <v>7</v>
      </c>
      <c r="J16" s="19">
        <f>25+40</f>
        <v>65</v>
      </c>
      <c r="K16" s="20">
        <f t="shared" si="0"/>
        <v>52.469000000000001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46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27</v>
      </c>
      <c r="G19" s="51" t="s">
        <v>45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44</v>
      </c>
      <c r="G20" s="51" t="s">
        <v>45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65</v>
      </c>
      <c r="G21" s="51" t="s">
        <v>46</v>
      </c>
      <c r="I21" s="34"/>
      <c r="J21" s="14">
        <v>0</v>
      </c>
      <c r="K21" s="15"/>
      <c r="L21" s="21">
        <f>+J8</f>
        <v>59.469000000000001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52.469000000000001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85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556602187</v>
      </c>
      <c r="D5" s="57">
        <v>6207012909</v>
      </c>
      <c r="E5" s="57">
        <v>57851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57.850999999999999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56.850999999999999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6+8</f>
        <v>14</v>
      </c>
      <c r="K11" s="20">
        <f t="shared" ref="K11:K16" si="0">+$J$8-I11</f>
        <v>55.850999999999999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6+9</f>
        <v>15</v>
      </c>
      <c r="K12" s="20">
        <f t="shared" si="0"/>
        <v>54.850999999999999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12+12</f>
        <v>24</v>
      </c>
      <c r="K13" s="20">
        <f t="shared" si="0"/>
        <v>53.850999999999999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11+18</f>
        <v>29</v>
      </c>
      <c r="K14" s="20">
        <f t="shared" si="0"/>
        <v>52.850999999999999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45</v>
      </c>
      <c r="I15" s="41">
        <v>6</v>
      </c>
      <c r="J15" s="19">
        <f>22+24</f>
        <v>46</v>
      </c>
      <c r="K15" s="20">
        <f t="shared" si="0"/>
        <v>51.850999999999999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45</v>
      </c>
      <c r="I16" s="41">
        <v>7</v>
      </c>
      <c r="J16" s="19">
        <f>27+37</f>
        <v>64</v>
      </c>
      <c r="K16" s="20">
        <f t="shared" si="0"/>
        <v>50.850999999999999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59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86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29</v>
      </c>
      <c r="G19" s="51" t="s">
        <v>87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46</v>
      </c>
      <c r="G20" s="51" t="s">
        <v>88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64</v>
      </c>
      <c r="G21" s="51" t="s">
        <v>89</v>
      </c>
      <c r="I21" s="34"/>
      <c r="J21" s="14">
        <v>0</v>
      </c>
      <c r="K21" s="15"/>
      <c r="L21" s="21">
        <f>+J8</f>
        <v>57.850999999999999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50.850999999999999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90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556671792</v>
      </c>
      <c r="D5" s="57">
        <v>6207144050</v>
      </c>
      <c r="E5" s="57">
        <v>61103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61.103000000000002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4+6</f>
        <v>10</v>
      </c>
      <c r="K10" s="20">
        <f>+$J$8-I10</f>
        <v>60.103000000000002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7+8</f>
        <v>15</v>
      </c>
      <c r="K11" s="20">
        <f t="shared" ref="K11:K17" si="0">+$J$8-I11</f>
        <v>59.103000000000002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6+7</f>
        <v>13</v>
      </c>
      <c r="K12" s="20">
        <f t="shared" si="0"/>
        <v>58.103000000000002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8+8</f>
        <v>16</v>
      </c>
      <c r="K13" s="20">
        <f t="shared" si="0"/>
        <v>57.103000000000002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10+12</f>
        <v>22</v>
      </c>
      <c r="K14" s="20">
        <f t="shared" si="0"/>
        <v>56.103000000000002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41</v>
      </c>
      <c r="I15" s="41">
        <v>6</v>
      </c>
      <c r="J15" s="19">
        <f>13+18</f>
        <v>31</v>
      </c>
      <c r="K15" s="20">
        <f t="shared" si="0"/>
        <v>55.103000000000002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41</v>
      </c>
      <c r="I16" s="41">
        <v>7</v>
      </c>
      <c r="J16" s="19">
        <f>19+26</f>
        <v>45</v>
      </c>
      <c r="K16" s="20">
        <f t="shared" si="0"/>
        <v>54.103000000000002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45</v>
      </c>
      <c r="I17" s="41">
        <v>8</v>
      </c>
      <c r="J17" s="19">
        <v>50</v>
      </c>
      <c r="K17" s="20">
        <f t="shared" si="0"/>
        <v>53.103000000000002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46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22</v>
      </c>
      <c r="G19" s="51" t="s">
        <v>47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31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45</v>
      </c>
      <c r="G21" s="51" t="s">
        <v>45</v>
      </c>
      <c r="I21" s="34"/>
      <c r="J21" s="14">
        <v>0</v>
      </c>
      <c r="K21" s="15"/>
      <c r="L21" s="21">
        <f>+J8</f>
        <v>61.103000000000002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43</v>
      </c>
      <c r="I22" s="34"/>
      <c r="J22" s="10">
        <v>0</v>
      </c>
      <c r="K22" s="11"/>
      <c r="L22" s="22">
        <f>+K17</f>
        <v>53.103000000000002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E15" sqref="E15:G2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51</v>
      </c>
      <c r="E3" s="107"/>
      <c r="F3" s="105" t="s">
        <v>38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6186855185</v>
      </c>
      <c r="D5" s="57">
        <v>558569226</v>
      </c>
      <c r="E5" s="57">
        <v>46401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10062017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46.401000000000003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40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12+19</f>
        <v>31</v>
      </c>
      <c r="K10" s="20">
        <f>+$J$8-I10</f>
        <v>45.401000000000003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14+14</f>
        <v>28</v>
      </c>
      <c r="K11" s="20">
        <f t="shared" ref="K11:K20" si="0">+$J$8-I11</f>
        <v>44.401000000000003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14+17</f>
        <v>31</v>
      </c>
      <c r="K12" s="20">
        <f t="shared" si="0"/>
        <v>43.401000000000003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14+17</f>
        <v>31</v>
      </c>
      <c r="K13" s="20">
        <f t="shared" si="0"/>
        <v>42.401000000000003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18+15</f>
        <v>33</v>
      </c>
      <c r="K14" s="20">
        <f t="shared" si="0"/>
        <v>41.401000000000003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31</v>
      </c>
      <c r="G15" s="51" t="s">
        <v>41</v>
      </c>
      <c r="I15" s="41">
        <v>6</v>
      </c>
      <c r="J15" s="19">
        <f>22+27</f>
        <v>49</v>
      </c>
      <c r="K15" s="20">
        <f t="shared" si="0"/>
        <v>40.401000000000003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44</v>
      </c>
      <c r="I16" s="41">
        <v>7</v>
      </c>
      <c r="J16" s="19">
        <f>15+17</f>
        <v>32</v>
      </c>
      <c r="K16" s="20">
        <f t="shared" si="0"/>
        <v>39.401000000000003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31</v>
      </c>
      <c r="G17" s="51" t="s">
        <v>44</v>
      </c>
      <c r="I17" s="41">
        <v>8</v>
      </c>
      <c r="J17" s="19">
        <f>10+14</f>
        <v>24</v>
      </c>
      <c r="K17" s="20">
        <f t="shared" si="0"/>
        <v>38.401000000000003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31</v>
      </c>
      <c r="G18" s="51" t="s">
        <v>43</v>
      </c>
      <c r="I18" s="41">
        <v>9</v>
      </c>
      <c r="J18" s="19">
        <f>27+42</f>
        <v>69</v>
      </c>
      <c r="K18" s="20">
        <f t="shared" si="0"/>
        <v>37.401000000000003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43</v>
      </c>
      <c r="I19" s="41">
        <v>10</v>
      </c>
      <c r="J19" s="19">
        <f>36+35</f>
        <v>71</v>
      </c>
      <c r="K19" s="20">
        <f t="shared" si="0"/>
        <v>36.401000000000003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49</v>
      </c>
      <c r="G20" s="51" t="s">
        <v>52</v>
      </c>
      <c r="I20" s="41">
        <v>11</v>
      </c>
      <c r="J20" s="19">
        <f>34+43</f>
        <v>77</v>
      </c>
      <c r="K20" s="20">
        <f t="shared" si="0"/>
        <v>35.401000000000003</v>
      </c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32</v>
      </c>
      <c r="G21" s="51" t="s">
        <v>52</v>
      </c>
      <c r="I21" s="34"/>
      <c r="J21" s="14">
        <v>0</v>
      </c>
      <c r="K21" s="15"/>
      <c r="L21" s="21">
        <f>+J8</f>
        <v>46.401000000000003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24</v>
      </c>
      <c r="G22" s="51" t="s">
        <v>55</v>
      </c>
      <c r="I22" s="34"/>
      <c r="J22" s="10">
        <v>0</v>
      </c>
      <c r="K22" s="11"/>
      <c r="L22" s="22">
        <f>+K20</f>
        <v>35.401000000000003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69</v>
      </c>
      <c r="G23" s="51" t="s">
        <v>47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71</v>
      </c>
      <c r="G24" s="51" t="s">
        <v>47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11</v>
      </c>
      <c r="F25" s="50">
        <f t="shared" si="1"/>
        <v>77</v>
      </c>
      <c r="G25" s="51" t="s">
        <v>47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69" zoomScaleNormal="69" workbookViewId="0">
      <selection activeCell="E5" sqref="E5"/>
    </sheetView>
  </sheetViews>
  <sheetFormatPr baseColWidth="10" defaultColWidth="8.796875" defaultRowHeight="15" x14ac:dyDescent="0.25"/>
  <cols>
    <col min="1" max="1" width="3.09765625" style="70" customWidth="1"/>
    <col min="2" max="5" width="12.69921875" style="70" customWidth="1"/>
    <col min="6" max="6" width="8.69921875" style="70" customWidth="1"/>
    <col min="7" max="7" width="4.69921875" style="70" customWidth="1"/>
    <col min="8" max="8" width="8.796875" style="70"/>
    <col min="9" max="9" width="12.3984375" style="70" customWidth="1"/>
    <col min="10" max="12" width="8.796875" style="70"/>
    <col min="13" max="13" width="10.69921875" style="70" bestFit="1" customWidth="1"/>
    <col min="14" max="16384" width="8.796875" style="70"/>
  </cols>
  <sheetData>
    <row r="2" spans="2:13" x14ac:dyDescent="0.25">
      <c r="B2" s="68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7"/>
      <c r="C3" s="28" t="s">
        <v>32</v>
      </c>
      <c r="D3" s="105" t="s">
        <v>68</v>
      </c>
      <c r="E3" s="107"/>
      <c r="F3" s="105" t="s">
        <v>92</v>
      </c>
      <c r="G3" s="107"/>
      <c r="K3" s="70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71" t="s">
        <v>22</v>
      </c>
    </row>
    <row r="5" spans="2:13" ht="16.5" thickBot="1" x14ac:dyDescent="0.3">
      <c r="B5" s="28" t="s">
        <v>31</v>
      </c>
      <c r="C5" s="57">
        <v>556769532</v>
      </c>
      <c r="D5" s="57">
        <v>6207265357</v>
      </c>
      <c r="E5" s="57">
        <v>65715</v>
      </c>
      <c r="F5" s="105" t="s">
        <v>20</v>
      </c>
      <c r="G5" s="107"/>
      <c r="K5" s="72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73"/>
      <c r="J6" s="74"/>
      <c r="K6" s="74"/>
      <c r="L6" s="74"/>
      <c r="M6" s="75"/>
    </row>
    <row r="7" spans="2:13" ht="15.75" x14ac:dyDescent="0.25">
      <c r="B7" s="67" t="s">
        <v>20</v>
      </c>
      <c r="C7" s="69" t="s">
        <v>25</v>
      </c>
      <c r="D7" s="67">
        <v>23062017</v>
      </c>
      <c r="E7" s="105" t="s">
        <v>36</v>
      </c>
      <c r="F7" s="106"/>
      <c r="G7" s="107"/>
      <c r="I7" s="76"/>
      <c r="J7" s="77"/>
      <c r="K7" s="77"/>
      <c r="L7" s="77"/>
      <c r="M7" s="78"/>
    </row>
    <row r="8" spans="2:13" ht="30" x14ac:dyDescent="0.25">
      <c r="B8" s="65" t="s">
        <v>11</v>
      </c>
      <c r="C8" s="66"/>
      <c r="D8" s="102" t="s">
        <v>8</v>
      </c>
      <c r="E8" s="103"/>
      <c r="F8" s="103"/>
      <c r="G8" s="104"/>
      <c r="I8" s="79" t="s">
        <v>15</v>
      </c>
      <c r="J8" s="26">
        <f>+E5/1000</f>
        <v>65.715000000000003</v>
      </c>
      <c r="K8" s="77"/>
      <c r="L8" s="77"/>
      <c r="M8" s="7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80" t="s">
        <v>12</v>
      </c>
      <c r="J9" s="81" t="s">
        <v>13</v>
      </c>
      <c r="K9" s="81" t="s">
        <v>14</v>
      </c>
      <c r="L9" s="77"/>
      <c r="M9" s="78"/>
    </row>
    <row r="10" spans="2:13" x14ac:dyDescent="0.25">
      <c r="B10" s="82"/>
      <c r="C10" s="5"/>
      <c r="D10" s="5"/>
      <c r="E10" s="5"/>
      <c r="F10" s="77"/>
      <c r="G10" s="4"/>
      <c r="I10" s="41">
        <v>1</v>
      </c>
      <c r="J10" s="19">
        <f>4+5</f>
        <v>9</v>
      </c>
      <c r="K10" s="83">
        <f>+$J$8-I10</f>
        <v>64.715000000000003</v>
      </c>
      <c r="L10" s="77"/>
      <c r="M10" s="78"/>
    </row>
    <row r="11" spans="2:13" ht="15.75" x14ac:dyDescent="0.25">
      <c r="B11" s="82"/>
      <c r="C11" s="3"/>
      <c r="D11" s="3"/>
      <c r="E11" s="3"/>
      <c r="F11" s="77"/>
      <c r="G11" s="6"/>
      <c r="I11" s="41">
        <v>2</v>
      </c>
      <c r="J11" s="19">
        <f>6+10</f>
        <v>16</v>
      </c>
      <c r="K11" s="83">
        <f t="shared" ref="K11:K18" si="0">+$J$8-I11</f>
        <v>63.715000000000003</v>
      </c>
      <c r="L11" s="77"/>
      <c r="M11" s="78"/>
    </row>
    <row r="12" spans="2:13" x14ac:dyDescent="0.25">
      <c r="B12" s="82"/>
      <c r="C12" s="77"/>
      <c r="D12" s="77"/>
      <c r="E12" s="77"/>
      <c r="F12" s="77"/>
      <c r="G12" s="84"/>
      <c r="I12" s="41">
        <v>3</v>
      </c>
      <c r="J12" s="19">
        <f>9+12</f>
        <v>21</v>
      </c>
      <c r="K12" s="83">
        <f t="shared" si="0"/>
        <v>62.715000000000003</v>
      </c>
      <c r="L12" s="77"/>
      <c r="M12" s="78"/>
    </row>
    <row r="13" spans="2:13" x14ac:dyDescent="0.25">
      <c r="B13" s="82"/>
      <c r="C13" s="77"/>
      <c r="D13" s="77"/>
      <c r="E13" s="77"/>
      <c r="F13" s="77"/>
      <c r="G13" s="84"/>
      <c r="I13" s="41">
        <v>4</v>
      </c>
      <c r="J13" s="19">
        <f>8+11</f>
        <v>19</v>
      </c>
      <c r="K13" s="83">
        <f t="shared" si="0"/>
        <v>61.715000000000003</v>
      </c>
      <c r="L13" s="77"/>
      <c r="M13" s="78"/>
    </row>
    <row r="14" spans="2:13" x14ac:dyDescent="0.25">
      <c r="B14" s="82"/>
      <c r="C14" s="77"/>
      <c r="D14" s="77"/>
      <c r="E14" s="85" t="s">
        <v>24</v>
      </c>
      <c r="F14" s="86" t="s">
        <v>23</v>
      </c>
      <c r="G14" s="87" t="s">
        <v>16</v>
      </c>
      <c r="I14" s="41">
        <v>5</v>
      </c>
      <c r="J14" s="19">
        <f>13+18</f>
        <v>31</v>
      </c>
      <c r="K14" s="83">
        <f t="shared" si="0"/>
        <v>60.715000000000003</v>
      </c>
      <c r="L14" s="77"/>
      <c r="M14" s="78"/>
    </row>
    <row r="15" spans="2:13" x14ac:dyDescent="0.25">
      <c r="B15" s="82"/>
      <c r="C15" s="77"/>
      <c r="D15" s="77"/>
      <c r="E15" s="50">
        <f>+I10</f>
        <v>1</v>
      </c>
      <c r="F15" s="50">
        <f>+J10</f>
        <v>9</v>
      </c>
      <c r="G15" s="51" t="s">
        <v>46</v>
      </c>
      <c r="I15" s="41">
        <v>6</v>
      </c>
      <c r="J15" s="19">
        <f>18+23</f>
        <v>41</v>
      </c>
      <c r="K15" s="83">
        <f t="shared" si="0"/>
        <v>59.715000000000003</v>
      </c>
      <c r="L15" s="77"/>
      <c r="M15" s="78"/>
    </row>
    <row r="16" spans="2:13" x14ac:dyDescent="0.25">
      <c r="B16" s="82"/>
      <c r="C16" s="77"/>
      <c r="D16" s="77"/>
      <c r="E16" s="50">
        <f t="shared" ref="E16:F26" si="1">+I11</f>
        <v>2</v>
      </c>
      <c r="F16" s="50">
        <f t="shared" si="1"/>
        <v>16</v>
      </c>
      <c r="G16" s="51" t="s">
        <v>47</v>
      </c>
      <c r="I16" s="41">
        <v>7</v>
      </c>
      <c r="J16" s="19">
        <f>17+20</f>
        <v>37</v>
      </c>
      <c r="K16" s="83">
        <f t="shared" si="0"/>
        <v>58.715000000000003</v>
      </c>
      <c r="L16" s="77"/>
      <c r="M16" s="78"/>
    </row>
    <row r="17" spans="2:13" x14ac:dyDescent="0.25">
      <c r="B17" s="82"/>
      <c r="C17" s="77"/>
      <c r="D17" s="77"/>
      <c r="E17" s="50">
        <f t="shared" si="1"/>
        <v>3</v>
      </c>
      <c r="F17" s="50">
        <f t="shared" si="1"/>
        <v>21</v>
      </c>
      <c r="G17" s="51" t="s">
        <v>64</v>
      </c>
      <c r="I17" s="41">
        <v>8</v>
      </c>
      <c r="J17" s="19">
        <f>22+21</f>
        <v>43</v>
      </c>
      <c r="K17" s="83">
        <f t="shared" si="0"/>
        <v>57.715000000000003</v>
      </c>
      <c r="L17" s="77"/>
      <c r="M17" s="78"/>
    </row>
    <row r="18" spans="2:13" x14ac:dyDescent="0.25">
      <c r="B18" s="82"/>
      <c r="C18" s="77"/>
      <c r="D18" s="77"/>
      <c r="E18" s="50">
        <f t="shared" si="1"/>
        <v>4</v>
      </c>
      <c r="F18" s="50">
        <f t="shared" si="1"/>
        <v>19</v>
      </c>
      <c r="G18" s="51" t="s">
        <v>45</v>
      </c>
      <c r="I18" s="41">
        <v>9</v>
      </c>
      <c r="J18" s="19">
        <f>25+31</f>
        <v>56</v>
      </c>
      <c r="K18" s="83">
        <f t="shared" si="0"/>
        <v>56.715000000000003</v>
      </c>
      <c r="L18" s="77"/>
      <c r="M18" s="78"/>
    </row>
    <row r="19" spans="2:13" x14ac:dyDescent="0.25">
      <c r="B19" s="82"/>
      <c r="C19" s="77"/>
      <c r="D19" s="77"/>
      <c r="E19" s="50">
        <f t="shared" si="1"/>
        <v>5</v>
      </c>
      <c r="F19" s="50">
        <f t="shared" si="1"/>
        <v>31</v>
      </c>
      <c r="G19" s="51" t="s">
        <v>46</v>
      </c>
      <c r="I19" s="41"/>
      <c r="J19" s="19"/>
      <c r="K19" s="83"/>
      <c r="L19" s="77"/>
      <c r="M19" s="78"/>
    </row>
    <row r="20" spans="2:13" x14ac:dyDescent="0.25">
      <c r="B20" s="82"/>
      <c r="C20" s="77"/>
      <c r="D20" s="77"/>
      <c r="E20" s="50">
        <f t="shared" si="1"/>
        <v>6</v>
      </c>
      <c r="F20" s="50">
        <f t="shared" si="1"/>
        <v>41</v>
      </c>
      <c r="G20" s="51" t="s">
        <v>46</v>
      </c>
      <c r="I20" s="41"/>
      <c r="J20" s="19"/>
      <c r="K20" s="83"/>
      <c r="L20" s="77"/>
      <c r="M20" s="78"/>
    </row>
    <row r="21" spans="2:13" x14ac:dyDescent="0.25">
      <c r="B21" s="82"/>
      <c r="C21" s="77"/>
      <c r="D21" s="77"/>
      <c r="E21" s="50">
        <f t="shared" si="1"/>
        <v>7</v>
      </c>
      <c r="F21" s="50">
        <f t="shared" si="1"/>
        <v>37</v>
      </c>
      <c r="G21" s="51" t="s">
        <v>47</v>
      </c>
      <c r="I21" s="76"/>
      <c r="J21" s="88">
        <v>0</v>
      </c>
      <c r="K21" s="89"/>
      <c r="L21" s="90">
        <f>+J8</f>
        <v>65.715000000000003</v>
      </c>
      <c r="M21" s="91" t="s">
        <v>17</v>
      </c>
    </row>
    <row r="22" spans="2:13" x14ac:dyDescent="0.25">
      <c r="B22" s="82"/>
      <c r="C22" s="77"/>
      <c r="D22" s="77"/>
      <c r="E22" s="50">
        <f t="shared" si="1"/>
        <v>8</v>
      </c>
      <c r="F22" s="50">
        <f t="shared" si="1"/>
        <v>43</v>
      </c>
      <c r="G22" s="51" t="s">
        <v>72</v>
      </c>
      <c r="I22" s="76"/>
      <c r="J22" s="92">
        <v>0</v>
      </c>
      <c r="K22" s="93"/>
      <c r="L22" s="94">
        <f>+K18</f>
        <v>56.715000000000003</v>
      </c>
      <c r="M22" s="95" t="s">
        <v>18</v>
      </c>
    </row>
    <row r="23" spans="2:13" x14ac:dyDescent="0.25">
      <c r="B23" s="82"/>
      <c r="C23" s="77"/>
      <c r="D23" s="77"/>
      <c r="E23" s="50">
        <f t="shared" si="1"/>
        <v>9</v>
      </c>
      <c r="F23" s="50">
        <f t="shared" si="1"/>
        <v>56</v>
      </c>
      <c r="G23" s="51" t="s">
        <v>72</v>
      </c>
      <c r="I23" s="76"/>
      <c r="J23" s="77"/>
      <c r="K23" s="77"/>
      <c r="L23" s="96"/>
      <c r="M23" s="97"/>
    </row>
    <row r="24" spans="2:13" x14ac:dyDescent="0.25">
      <c r="B24" s="82"/>
      <c r="C24" s="77"/>
      <c r="D24" s="77"/>
      <c r="E24" s="50">
        <f t="shared" si="1"/>
        <v>0</v>
      </c>
      <c r="F24" s="50">
        <f t="shared" si="1"/>
        <v>0</v>
      </c>
      <c r="G24" s="51" t="s">
        <v>20</v>
      </c>
      <c r="I24" s="76"/>
      <c r="J24" s="77"/>
      <c r="K24" s="77"/>
      <c r="L24" s="77"/>
      <c r="M24" s="97"/>
    </row>
    <row r="25" spans="2:13" x14ac:dyDescent="0.25">
      <c r="B25" s="82"/>
      <c r="C25" s="77"/>
      <c r="D25" s="77"/>
      <c r="E25" s="50">
        <f t="shared" si="1"/>
        <v>0</v>
      </c>
      <c r="F25" s="50">
        <f t="shared" si="1"/>
        <v>0</v>
      </c>
      <c r="G25" s="51" t="s">
        <v>20</v>
      </c>
      <c r="I25" s="76" t="s">
        <v>28</v>
      </c>
      <c r="J25" s="77"/>
      <c r="K25" s="77"/>
      <c r="L25" s="77"/>
      <c r="M25" s="78"/>
    </row>
    <row r="26" spans="2:13" ht="15.75" thickBot="1" x14ac:dyDescent="0.3">
      <c r="B26" s="82"/>
      <c r="C26" s="77"/>
      <c r="D26" s="77"/>
      <c r="E26" s="50">
        <f t="shared" si="1"/>
        <v>0</v>
      </c>
      <c r="F26" s="50">
        <f t="shared" si="1"/>
        <v>0</v>
      </c>
      <c r="G26" s="51" t="s">
        <v>20</v>
      </c>
      <c r="I26" s="98"/>
      <c r="J26" s="99"/>
      <c r="K26" s="99"/>
      <c r="L26" s="99"/>
      <c r="M26" s="100"/>
    </row>
    <row r="27" spans="2:13" x14ac:dyDescent="0.25">
      <c r="B27" s="82"/>
      <c r="C27" s="77"/>
      <c r="D27" s="77"/>
      <c r="E27" s="77"/>
      <c r="F27" s="77"/>
      <c r="G27" s="84"/>
    </row>
    <row r="28" spans="2:13" x14ac:dyDescent="0.25">
      <c r="B28" s="92"/>
      <c r="C28" s="93"/>
      <c r="D28" s="93"/>
      <c r="E28" s="93"/>
      <c r="F28" s="93"/>
      <c r="G28" s="87"/>
      <c r="J28" s="70" t="s">
        <v>29</v>
      </c>
    </row>
    <row r="30" spans="2:13" x14ac:dyDescent="0.25">
      <c r="B30" s="70" t="s">
        <v>26</v>
      </c>
    </row>
    <row r="31" spans="2:13" x14ac:dyDescent="0.25">
      <c r="B31" s="70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91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556909843</v>
      </c>
      <c r="D5" s="57">
        <v>6207402399</v>
      </c>
      <c r="E5" s="57">
        <v>67966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23062017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67.965999999999994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6+6</f>
        <v>12</v>
      </c>
      <c r="K10" s="20">
        <f>+$J$8-I10</f>
        <v>66.965999999999994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6+8</f>
        <v>14</v>
      </c>
      <c r="K11" s="20">
        <f t="shared" ref="K11:K17" si="0">+$J$8-I11</f>
        <v>65.965999999999994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64.965999999999994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8+13</f>
        <v>21</v>
      </c>
      <c r="K13" s="20">
        <f t="shared" si="0"/>
        <v>63.965999999999994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7+10</f>
        <v>17</v>
      </c>
      <c r="K14" s="20">
        <f t="shared" si="0"/>
        <v>62.965999999999994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41</v>
      </c>
      <c r="I15" s="41">
        <v>6</v>
      </c>
      <c r="J15" s="19">
        <f>11+13</f>
        <v>24</v>
      </c>
      <c r="K15" s="20">
        <f t="shared" si="0"/>
        <v>61.965999999999994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45</v>
      </c>
      <c r="I16" s="41">
        <v>6.5</v>
      </c>
      <c r="J16" s="19">
        <f>20+22</f>
        <v>42</v>
      </c>
      <c r="K16" s="20">
        <f t="shared" si="0"/>
        <v>61.465999999999994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41</v>
      </c>
      <c r="I17" s="41">
        <v>7</v>
      </c>
      <c r="J17" s="19">
        <f>26+29</f>
        <v>55</v>
      </c>
      <c r="K17" s="20">
        <f t="shared" si="0"/>
        <v>60.965999999999994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48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17</v>
      </c>
      <c r="G19" s="51" t="s">
        <v>93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24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6.5</v>
      </c>
      <c r="F21" s="50">
        <f t="shared" si="1"/>
        <v>42</v>
      </c>
      <c r="G21" s="51" t="s">
        <v>47</v>
      </c>
      <c r="I21" s="34"/>
      <c r="J21" s="14">
        <v>0</v>
      </c>
      <c r="K21" s="15"/>
      <c r="L21" s="21">
        <f>+J8</f>
        <v>67.965999999999994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7</v>
      </c>
      <c r="F22" s="50">
        <f t="shared" si="1"/>
        <v>55</v>
      </c>
      <c r="G22" s="51" t="s">
        <v>47</v>
      </c>
      <c r="I22" s="34"/>
      <c r="J22" s="10">
        <v>0</v>
      </c>
      <c r="K22" s="11"/>
      <c r="L22" s="22">
        <f>+K17</f>
        <v>60.965999999999994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89843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94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557053710</v>
      </c>
      <c r="D5" s="57">
        <v>6207542579</v>
      </c>
      <c r="E5" s="57">
        <v>62231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23062017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62.231000000000002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61.231000000000002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4+5</f>
        <v>9</v>
      </c>
      <c r="K11" s="20">
        <f t="shared" ref="K11:K18" si="0">+$J$8-I11</f>
        <v>60.231000000000002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59.231000000000002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8+13</f>
        <v>21</v>
      </c>
      <c r="K13" s="20">
        <f t="shared" si="0"/>
        <v>58.231000000000002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11+15</f>
        <v>26</v>
      </c>
      <c r="K14" s="20">
        <f t="shared" si="0"/>
        <v>57.231000000000002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106</v>
      </c>
      <c r="I15" s="41">
        <v>6</v>
      </c>
      <c r="J15" s="19">
        <f>15+21</f>
        <v>36</v>
      </c>
      <c r="K15" s="20">
        <f t="shared" si="0"/>
        <v>56.231000000000002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47</v>
      </c>
      <c r="I16" s="41">
        <v>7</v>
      </c>
      <c r="J16" s="19">
        <f>17+22</f>
        <v>39</v>
      </c>
      <c r="K16" s="20">
        <f t="shared" si="0"/>
        <v>55.231000000000002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47</v>
      </c>
      <c r="I17" s="41">
        <v>8</v>
      </c>
      <c r="J17" s="19">
        <f>19+26</f>
        <v>45</v>
      </c>
      <c r="K17" s="20">
        <f t="shared" si="0"/>
        <v>54.231000000000002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42</v>
      </c>
      <c r="I18" s="41">
        <v>9</v>
      </c>
      <c r="J18" s="19">
        <f>24+28</f>
        <v>52</v>
      </c>
      <c r="K18" s="20">
        <f t="shared" si="0"/>
        <v>53.231000000000002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26</v>
      </c>
      <c r="G19" s="51" t="s">
        <v>42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36</v>
      </c>
      <c r="G20" s="51" t="s">
        <v>46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39</v>
      </c>
      <c r="G21" s="51" t="s">
        <v>46</v>
      </c>
      <c r="I21" s="34"/>
      <c r="J21" s="14">
        <v>0</v>
      </c>
      <c r="K21" s="15"/>
      <c r="L21" s="21">
        <f>+J8</f>
        <v>62.231000000000002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45</v>
      </c>
      <c r="G22" s="51" t="s">
        <v>47</v>
      </c>
      <c r="I22" s="34"/>
      <c r="J22" s="10">
        <v>0</v>
      </c>
      <c r="K22" s="11"/>
      <c r="L22" s="22">
        <f>+K18</f>
        <v>53.231000000000002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52</v>
      </c>
      <c r="G23" s="51" t="s">
        <v>47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95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557197937</v>
      </c>
      <c r="D5" s="57">
        <v>6207683129</v>
      </c>
      <c r="E5" s="57">
        <v>63205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23062017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63.204999999999998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62.204999999999998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7" si="0">+$J$8-I11</f>
        <v>61.204999999999998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8+12</f>
        <v>20</v>
      </c>
      <c r="K12" s="20">
        <f t="shared" si="0"/>
        <v>60.204999999999998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9+8</f>
        <v>17</v>
      </c>
      <c r="K13" s="20">
        <f t="shared" si="0"/>
        <v>59.204999999999998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6+8</f>
        <v>14</v>
      </c>
      <c r="K14" s="20">
        <f t="shared" si="0"/>
        <v>58.204999999999998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46</v>
      </c>
      <c r="I15" s="41">
        <v>6</v>
      </c>
      <c r="J15" s="19">
        <f>7+9</f>
        <v>16</v>
      </c>
      <c r="K15" s="20">
        <f t="shared" si="0"/>
        <v>57.204999999999998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46</v>
      </c>
      <c r="I16" s="41">
        <v>7</v>
      </c>
      <c r="J16" s="19">
        <f>13+19</f>
        <v>32</v>
      </c>
      <c r="K16" s="20">
        <f t="shared" si="0"/>
        <v>56.204999999999998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47</v>
      </c>
      <c r="I17" s="41">
        <v>8</v>
      </c>
      <c r="J17" s="19">
        <f>21+31</f>
        <v>52</v>
      </c>
      <c r="K17" s="20">
        <f t="shared" si="0"/>
        <v>55.204999999999998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46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14</v>
      </c>
      <c r="G19" s="51" t="s">
        <v>45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16</v>
      </c>
      <c r="G20" s="51" t="s">
        <v>45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32</v>
      </c>
      <c r="G21" s="51" t="s">
        <v>47</v>
      </c>
      <c r="I21" s="34"/>
      <c r="J21" s="14">
        <v>0</v>
      </c>
      <c r="K21" s="15"/>
      <c r="L21" s="21">
        <f>+J8</f>
        <v>63.204999999999998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52</v>
      </c>
      <c r="G22" s="51" t="s">
        <v>47</v>
      </c>
      <c r="I22" s="34"/>
      <c r="J22" s="10">
        <v>0</v>
      </c>
      <c r="K22" s="11"/>
      <c r="L22" s="22">
        <f>+K17</f>
        <v>55.204999999999998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A6" zoomScale="86" zoomScaleNormal="86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96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557342533</v>
      </c>
      <c r="D5" s="57">
        <v>6207824087</v>
      </c>
      <c r="E5" s="57">
        <v>64797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23062017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64.796999999999997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63.796999999999997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5+6</f>
        <v>11</v>
      </c>
      <c r="K11" s="20">
        <f t="shared" ref="K11:K18" si="0">+$J$8-I11</f>
        <v>62.796999999999997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7+10</f>
        <v>17</v>
      </c>
      <c r="K12" s="20">
        <f t="shared" si="0"/>
        <v>61.796999999999997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9+14</f>
        <v>23</v>
      </c>
      <c r="K13" s="20">
        <f t="shared" si="0"/>
        <v>60.796999999999997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6</v>
      </c>
      <c r="J14" s="19">
        <f>9+12</f>
        <v>21</v>
      </c>
      <c r="K14" s="20">
        <f t="shared" si="0"/>
        <v>58.796999999999997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41</v>
      </c>
      <c r="I15" s="41">
        <v>7</v>
      </c>
      <c r="J15" s="19">
        <f>11+13</f>
        <v>24</v>
      </c>
      <c r="K15" s="20">
        <f t="shared" si="0"/>
        <v>57.796999999999997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41</v>
      </c>
      <c r="I16" s="41">
        <v>8</v>
      </c>
      <c r="J16" s="19">
        <f>12+13</f>
        <v>25</v>
      </c>
      <c r="K16" s="20">
        <f t="shared" si="0"/>
        <v>56.796999999999997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17</v>
      </c>
      <c r="G17" s="51" t="s">
        <v>46</v>
      </c>
      <c r="I17" s="41">
        <v>9</v>
      </c>
      <c r="J17" s="19">
        <f>12+17</f>
        <v>29</v>
      </c>
      <c r="K17" s="20">
        <f t="shared" si="0"/>
        <v>55.796999999999997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23</v>
      </c>
      <c r="G18" s="51" t="s">
        <v>47</v>
      </c>
      <c r="I18" s="41">
        <v>10</v>
      </c>
      <c r="J18" s="19">
        <f>16+26</f>
        <v>42</v>
      </c>
      <c r="K18" s="20">
        <f t="shared" si="0"/>
        <v>54.796999999999997</v>
      </c>
      <c r="L18" s="8"/>
      <c r="M18" s="38"/>
    </row>
    <row r="19" spans="2:13" x14ac:dyDescent="0.25">
      <c r="B19" s="7"/>
      <c r="C19" s="8"/>
      <c r="D19" s="8"/>
      <c r="E19" s="50">
        <f t="shared" si="1"/>
        <v>6</v>
      </c>
      <c r="F19" s="50">
        <f t="shared" si="1"/>
        <v>21</v>
      </c>
      <c r="G19" s="51" t="s">
        <v>47</v>
      </c>
      <c r="I19" s="10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7</v>
      </c>
      <c r="F20" s="50">
        <f t="shared" si="1"/>
        <v>24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8</v>
      </c>
      <c r="F21" s="50">
        <f t="shared" si="1"/>
        <v>25</v>
      </c>
      <c r="G21" s="51" t="s">
        <v>55</v>
      </c>
      <c r="I21" s="34"/>
      <c r="J21" s="14">
        <v>0</v>
      </c>
      <c r="K21" s="15"/>
      <c r="L21" s="21">
        <f>+J8</f>
        <v>64.796999999999997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9</v>
      </c>
      <c r="F22" s="50">
        <f t="shared" si="1"/>
        <v>29</v>
      </c>
      <c r="G22" s="51" t="s">
        <v>55</v>
      </c>
      <c r="I22" s="34"/>
      <c r="J22" s="10">
        <v>0</v>
      </c>
      <c r="K22" s="11"/>
      <c r="L22" s="22">
        <f>+K18</f>
        <v>54.796999999999997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10</v>
      </c>
      <c r="F23" s="50">
        <f t="shared" si="1"/>
        <v>42</v>
      </c>
      <c r="G23" s="51" t="s">
        <v>55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67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555883661</v>
      </c>
      <c r="D5" s="57">
        <v>6203953565</v>
      </c>
      <c r="E5" s="57">
        <v>55997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21062017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55.997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54.997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7" si="0">+$J$8-I11</f>
        <v>53.997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9+10</f>
        <v>19</v>
      </c>
      <c r="K12" s="20">
        <f t="shared" si="0"/>
        <v>52.997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14+16</f>
        <v>30</v>
      </c>
      <c r="K13" s="20">
        <f t="shared" si="0"/>
        <v>51.997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17+19</f>
        <v>36</v>
      </c>
      <c r="K14" s="20">
        <f t="shared" si="0"/>
        <v>50.997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41</v>
      </c>
      <c r="I15" s="41">
        <v>6</v>
      </c>
      <c r="J15" s="19">
        <f>16+20</f>
        <v>36</v>
      </c>
      <c r="K15" s="20">
        <f t="shared" si="0"/>
        <v>49.997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41</v>
      </c>
      <c r="I16" s="41">
        <v>7</v>
      </c>
      <c r="J16" s="19">
        <f>18+24</f>
        <v>42</v>
      </c>
      <c r="K16" s="20">
        <f t="shared" si="0"/>
        <v>48.997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64</v>
      </c>
      <c r="I17" s="41">
        <v>8</v>
      </c>
      <c r="J17" s="19">
        <f>24+33</f>
        <v>57</v>
      </c>
      <c r="K17" s="20">
        <f t="shared" si="0"/>
        <v>47.997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30</v>
      </c>
      <c r="G18" s="51" t="s">
        <v>64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36</v>
      </c>
      <c r="G19" s="51" t="s">
        <v>54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36</v>
      </c>
      <c r="G20" s="51" t="s">
        <v>54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42</v>
      </c>
      <c r="G21" s="51" t="s">
        <v>49</v>
      </c>
      <c r="I21" s="34"/>
      <c r="J21" s="14">
        <v>0</v>
      </c>
      <c r="K21" s="15"/>
      <c r="L21" s="21">
        <f>+J8</f>
        <v>55.997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57</v>
      </c>
      <c r="G22" s="51" t="s">
        <v>65</v>
      </c>
      <c r="I22" s="34"/>
      <c r="J22" s="10">
        <v>0</v>
      </c>
      <c r="K22" s="11"/>
      <c r="L22" s="22">
        <f>+K17</f>
        <v>47.997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30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A5" zoomScale="78" zoomScaleNormal="78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97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557482215</v>
      </c>
      <c r="D5" s="57">
        <v>6207960574</v>
      </c>
      <c r="E5" s="57">
        <v>65401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24062017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65.400999999999996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64.400999999999996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6+9</f>
        <v>15</v>
      </c>
      <c r="K11" s="20">
        <f t="shared" ref="K11:K19" si="0">+$J$8-I11</f>
        <v>63.400999999999996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7+11</f>
        <v>18</v>
      </c>
      <c r="K12" s="20">
        <f t="shared" si="0"/>
        <v>62.400999999999996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8+13</f>
        <v>21</v>
      </c>
      <c r="K13" s="20">
        <f t="shared" si="0"/>
        <v>61.400999999999996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10+14</f>
        <v>24</v>
      </c>
      <c r="K14" s="20">
        <f t="shared" si="0"/>
        <v>60.400999999999996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47</v>
      </c>
      <c r="I15" s="41">
        <v>6</v>
      </c>
      <c r="J15" s="19">
        <f>11+14</f>
        <v>25</v>
      </c>
      <c r="K15" s="20">
        <f t="shared" si="0"/>
        <v>59.400999999999996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45</v>
      </c>
      <c r="I16" s="41">
        <v>7</v>
      </c>
      <c r="J16" s="19">
        <f>13+17</f>
        <v>30</v>
      </c>
      <c r="K16" s="20">
        <f t="shared" si="0"/>
        <v>58.400999999999996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45</v>
      </c>
      <c r="I17" s="41">
        <v>8</v>
      </c>
      <c r="J17" s="19">
        <f>16+21</f>
        <v>37</v>
      </c>
      <c r="K17" s="20">
        <f t="shared" si="0"/>
        <v>57.400999999999996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45</v>
      </c>
      <c r="I18" s="41">
        <v>9</v>
      </c>
      <c r="J18" s="19">
        <f>18+23</f>
        <v>41</v>
      </c>
      <c r="K18" s="20">
        <f t="shared" si="0"/>
        <v>56.400999999999996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24</v>
      </c>
      <c r="G19" s="51" t="s">
        <v>72</v>
      </c>
      <c r="I19" s="41">
        <v>10</v>
      </c>
      <c r="J19" s="19">
        <f>19+26</f>
        <v>45</v>
      </c>
      <c r="K19" s="20">
        <f t="shared" si="0"/>
        <v>55.400999999999996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25</v>
      </c>
      <c r="G20" s="51" t="s">
        <v>72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30</v>
      </c>
      <c r="G21" s="51" t="s">
        <v>45</v>
      </c>
      <c r="I21" s="34"/>
      <c r="J21" s="14">
        <v>0</v>
      </c>
      <c r="K21" s="15"/>
      <c r="L21" s="21">
        <f>+J8</f>
        <v>65.400999999999996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37</v>
      </c>
      <c r="G22" s="51" t="s">
        <v>46</v>
      </c>
      <c r="I22" s="34"/>
      <c r="J22" s="10">
        <v>0</v>
      </c>
      <c r="K22" s="11"/>
      <c r="L22" s="22">
        <f>+K19</f>
        <v>55.400999999999996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41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45</v>
      </c>
      <c r="G24" s="51" t="s">
        <v>46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3" zoomScaleNormal="73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98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557630468</v>
      </c>
      <c r="D5" s="57">
        <v>6208103933</v>
      </c>
      <c r="E5" s="57">
        <v>63819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24062017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63.819000000000003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4+6</f>
        <v>10</v>
      </c>
      <c r="K10" s="20">
        <f>+$J$8-I10</f>
        <v>62.819000000000003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6+7</f>
        <v>13</v>
      </c>
      <c r="K11" s="20">
        <f t="shared" ref="K11:K19" si="0">+$J$8-I11</f>
        <v>61.819000000000003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8+8</f>
        <v>16</v>
      </c>
      <c r="K12" s="20">
        <f t="shared" si="0"/>
        <v>60.819000000000003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7+10</f>
        <v>17</v>
      </c>
      <c r="K13" s="20">
        <f t="shared" si="0"/>
        <v>59.819000000000003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9+12</f>
        <v>21</v>
      </c>
      <c r="K14" s="20">
        <f t="shared" si="0"/>
        <v>58.819000000000003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45</v>
      </c>
      <c r="I15" s="41">
        <v>6</v>
      </c>
      <c r="J15" s="19">
        <f>10+14</f>
        <v>24</v>
      </c>
      <c r="K15" s="20">
        <f t="shared" si="0"/>
        <v>57.819000000000003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46</v>
      </c>
      <c r="I16" s="41">
        <v>7</v>
      </c>
      <c r="J16" s="19">
        <f>11+16</f>
        <v>27</v>
      </c>
      <c r="K16" s="20">
        <f t="shared" si="0"/>
        <v>56.819000000000003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46</v>
      </c>
      <c r="I17" s="41">
        <v>8</v>
      </c>
      <c r="J17" s="19">
        <f>15+19</f>
        <v>34</v>
      </c>
      <c r="K17" s="20">
        <f t="shared" si="0"/>
        <v>55.819000000000003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47</v>
      </c>
      <c r="I18" s="41">
        <v>9</v>
      </c>
      <c r="J18" s="19">
        <f>14+20</f>
        <v>34</v>
      </c>
      <c r="K18" s="20">
        <f t="shared" si="0"/>
        <v>54.819000000000003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21</v>
      </c>
      <c r="G19" s="51" t="s">
        <v>47</v>
      </c>
      <c r="I19" s="41">
        <v>10</v>
      </c>
      <c r="J19" s="19">
        <f>19+30</f>
        <v>49</v>
      </c>
      <c r="K19" s="20">
        <f t="shared" si="0"/>
        <v>53.819000000000003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24</v>
      </c>
      <c r="G20" s="51" t="s">
        <v>45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27</v>
      </c>
      <c r="G21" s="51" t="s">
        <v>45</v>
      </c>
      <c r="I21" s="34"/>
      <c r="J21" s="14">
        <v>0</v>
      </c>
      <c r="K21" s="15"/>
      <c r="L21" s="21">
        <f>+J8</f>
        <v>63.819000000000003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34</v>
      </c>
      <c r="G22" s="51" t="s">
        <v>45</v>
      </c>
      <c r="I22" s="34"/>
      <c r="J22" s="10">
        <v>0</v>
      </c>
      <c r="K22" s="11"/>
      <c r="L22" s="22">
        <f>+K19</f>
        <v>53.819000000000003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34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49</v>
      </c>
      <c r="G24" s="51" t="s">
        <v>46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99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557768752</v>
      </c>
      <c r="D5" s="57">
        <v>6208236733</v>
      </c>
      <c r="E5" s="57">
        <v>60145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25062017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60.145000000000003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59.145000000000003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8" si="0">+$J$8-I11</f>
        <v>58.145000000000003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6+10</f>
        <v>16</v>
      </c>
      <c r="K12" s="20">
        <f t="shared" si="0"/>
        <v>57.145000000000003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8+13</f>
        <v>21</v>
      </c>
      <c r="K13" s="20">
        <f t="shared" si="0"/>
        <v>56.145000000000003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12+14</f>
        <v>26</v>
      </c>
      <c r="K14" s="20">
        <f t="shared" si="0"/>
        <v>55.145000000000003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46</v>
      </c>
      <c r="I15" s="41">
        <v>6</v>
      </c>
      <c r="J15" s="19">
        <f>14+20</f>
        <v>34</v>
      </c>
      <c r="K15" s="20">
        <f t="shared" si="0"/>
        <v>54.145000000000003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47</v>
      </c>
      <c r="I16" s="41">
        <v>7</v>
      </c>
      <c r="J16" s="19">
        <f>14+22</f>
        <v>36</v>
      </c>
      <c r="K16" s="20">
        <f t="shared" si="0"/>
        <v>53.145000000000003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47</v>
      </c>
      <c r="I17" s="41">
        <v>8</v>
      </c>
      <c r="J17" s="19">
        <f>18+25</f>
        <v>43</v>
      </c>
      <c r="K17" s="20">
        <f t="shared" si="0"/>
        <v>52.145000000000003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47</v>
      </c>
      <c r="I18" s="41">
        <v>8.5</v>
      </c>
      <c r="J18" s="19">
        <f>22+36</f>
        <v>58</v>
      </c>
      <c r="K18" s="20">
        <f t="shared" si="0"/>
        <v>51.645000000000003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26</v>
      </c>
      <c r="G19" s="51" t="s">
        <v>46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34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36</v>
      </c>
      <c r="G21" s="51" t="s">
        <v>47</v>
      </c>
      <c r="I21" s="34"/>
      <c r="J21" s="14">
        <v>0</v>
      </c>
      <c r="K21" s="15"/>
      <c r="L21" s="21">
        <f>+J8</f>
        <v>60.145000000000003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43</v>
      </c>
      <c r="G22" s="51" t="s">
        <v>47</v>
      </c>
      <c r="I22" s="34"/>
      <c r="J22" s="10">
        <v>0</v>
      </c>
      <c r="K22" s="11"/>
      <c r="L22" s="22">
        <f>+K18</f>
        <v>51.645000000000003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8.5</v>
      </c>
      <c r="F23" s="50">
        <f t="shared" si="1"/>
        <v>58</v>
      </c>
      <c r="G23" s="51" t="s">
        <v>47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100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557873566</v>
      </c>
      <c r="D5" s="57">
        <v>6208370563</v>
      </c>
      <c r="E5" s="57">
        <v>59693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25062017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59.692999999999998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58.692999999999998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6+7</f>
        <v>13</v>
      </c>
      <c r="K11" s="20">
        <f t="shared" ref="K11:K17" si="0">+$J$8-I11</f>
        <v>57.692999999999998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6+9</f>
        <v>15</v>
      </c>
      <c r="K12" s="20">
        <f t="shared" si="0"/>
        <v>56.692999999999998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7+11</f>
        <v>18</v>
      </c>
      <c r="K13" s="20">
        <f t="shared" si="0"/>
        <v>55.692999999999998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10+13</f>
        <v>23</v>
      </c>
      <c r="K14" s="20">
        <f t="shared" si="0"/>
        <v>54.692999999999998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45</v>
      </c>
      <c r="I15" s="41">
        <v>6</v>
      </c>
      <c r="J15" s="19">
        <f>10+17</f>
        <v>27</v>
      </c>
      <c r="K15" s="20">
        <f t="shared" si="0"/>
        <v>53.692999999999998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45</v>
      </c>
      <c r="I16" s="41">
        <v>7</v>
      </c>
      <c r="J16" s="19">
        <f>23+23</f>
        <v>46</v>
      </c>
      <c r="K16" s="20">
        <f t="shared" si="0"/>
        <v>52.692999999999998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45</v>
      </c>
      <c r="I17" s="41">
        <v>8</v>
      </c>
      <c r="J17" s="19">
        <f>29+34</f>
        <v>63</v>
      </c>
      <c r="K17" s="20">
        <f t="shared" si="0"/>
        <v>51.692999999999998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18</v>
      </c>
      <c r="G18" s="51" t="s">
        <v>45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23</v>
      </c>
      <c r="G19" s="51" t="s">
        <v>45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27</v>
      </c>
      <c r="G20" s="51" t="s">
        <v>50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46</v>
      </c>
      <c r="G21" s="51" t="s">
        <v>50</v>
      </c>
      <c r="I21" s="34"/>
      <c r="J21" s="14">
        <v>0</v>
      </c>
      <c r="K21" s="15"/>
      <c r="L21" s="21">
        <f>+J8</f>
        <v>59.692999999999998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63</v>
      </c>
      <c r="G22" s="51" t="s">
        <v>50</v>
      </c>
      <c r="I22" s="34"/>
      <c r="J22" s="10">
        <v>0</v>
      </c>
      <c r="K22" s="11"/>
      <c r="L22" s="22">
        <f>+K17</f>
        <v>51.692999999999998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8" zoomScaleNormal="68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101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557933828</v>
      </c>
      <c r="D5" s="57">
        <v>6208442453</v>
      </c>
      <c r="E5" s="57">
        <v>60512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25062017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60.512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59.512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4+6</f>
        <v>10</v>
      </c>
      <c r="K11" s="20">
        <f t="shared" ref="K11:K19" si="0">+$J$8-I11</f>
        <v>58.512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6+7</f>
        <v>13</v>
      </c>
      <c r="K12" s="20">
        <f t="shared" si="0"/>
        <v>57.512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6+7</f>
        <v>13</v>
      </c>
      <c r="K13" s="20">
        <f t="shared" si="0"/>
        <v>56.512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8+8</f>
        <v>16</v>
      </c>
      <c r="K14" s="20">
        <f t="shared" si="0"/>
        <v>55.512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46</v>
      </c>
      <c r="I15" s="41">
        <v>6</v>
      </c>
      <c r="J15" s="19">
        <f>13+13</f>
        <v>26</v>
      </c>
      <c r="K15" s="20">
        <f t="shared" si="0"/>
        <v>54.512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46</v>
      </c>
      <c r="I16" s="41">
        <v>7</v>
      </c>
      <c r="J16" s="19">
        <f>14+19</f>
        <v>33</v>
      </c>
      <c r="K16" s="20">
        <f t="shared" si="0"/>
        <v>53.512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47</v>
      </c>
      <c r="I17" s="41">
        <v>8</v>
      </c>
      <c r="J17" s="19">
        <f>15+20</f>
        <v>35</v>
      </c>
      <c r="K17" s="20">
        <f t="shared" si="0"/>
        <v>52.512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13</v>
      </c>
      <c r="G18" s="51" t="s">
        <v>47</v>
      </c>
      <c r="I18" s="41">
        <v>9</v>
      </c>
      <c r="J18" s="19">
        <f>19+24</f>
        <v>43</v>
      </c>
      <c r="K18" s="20">
        <f t="shared" si="0"/>
        <v>51.512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16</v>
      </c>
      <c r="G19" s="51" t="s">
        <v>47</v>
      </c>
      <c r="I19" s="41">
        <v>10</v>
      </c>
      <c r="J19" s="19">
        <f>23+30</f>
        <v>53</v>
      </c>
      <c r="K19" s="20">
        <f t="shared" si="0"/>
        <v>50.512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26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33</v>
      </c>
      <c r="G21" s="51" t="s">
        <v>45</v>
      </c>
      <c r="I21" s="34"/>
      <c r="J21" s="14">
        <v>0</v>
      </c>
      <c r="K21" s="15"/>
      <c r="L21" s="21">
        <f>+J8</f>
        <v>60.512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35</v>
      </c>
      <c r="G22" s="51" t="s">
        <v>45</v>
      </c>
      <c r="I22" s="34"/>
      <c r="J22" s="10">
        <v>0</v>
      </c>
      <c r="K22" s="11"/>
      <c r="L22" s="22">
        <f>+K19</f>
        <v>50.512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43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53</v>
      </c>
      <c r="G24" s="51" t="s">
        <v>46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61"/>
      <c r="C3" s="28" t="s">
        <v>32</v>
      </c>
      <c r="D3" s="105" t="s">
        <v>68</v>
      </c>
      <c r="E3" s="107"/>
      <c r="F3" s="105" t="s">
        <v>102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 t="s">
        <v>107</v>
      </c>
      <c r="D5" s="57">
        <v>6208540044</v>
      </c>
      <c r="E5" s="57">
        <v>58833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25062017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2" t="s">
        <v>8</v>
      </c>
      <c r="E8" s="103"/>
      <c r="F8" s="103"/>
      <c r="G8" s="104"/>
      <c r="I8" s="39" t="s">
        <v>15</v>
      </c>
      <c r="J8" s="26">
        <f>+E5/1000</f>
        <v>58.832999999999998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5+5</f>
        <v>10</v>
      </c>
      <c r="K10" s="20">
        <f>+$J$8-I10</f>
        <v>57.832999999999998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3+5</f>
        <v>8</v>
      </c>
      <c r="K11" s="20">
        <f t="shared" ref="K11:K18" si="0">+$J$8-I11</f>
        <v>56.832999999999998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6+7</f>
        <v>13</v>
      </c>
      <c r="K12" s="20">
        <f t="shared" si="0"/>
        <v>55.832999999999998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8+11</f>
        <v>19</v>
      </c>
      <c r="K13" s="20">
        <f t="shared" si="0"/>
        <v>54.832999999999998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14+14</f>
        <v>28</v>
      </c>
      <c r="K14" s="20">
        <f t="shared" si="0"/>
        <v>53.832999999999998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46</v>
      </c>
      <c r="I15" s="41">
        <v>6</v>
      </c>
      <c r="J15" s="19">
        <f>15+21</f>
        <v>36</v>
      </c>
      <c r="K15" s="20">
        <f t="shared" si="0"/>
        <v>52.832999999999998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47</v>
      </c>
      <c r="I16" s="41">
        <v>7</v>
      </c>
      <c r="J16" s="19">
        <f>14+19</f>
        <v>33</v>
      </c>
      <c r="K16" s="20">
        <f t="shared" si="0"/>
        <v>51.832999999999998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47</v>
      </c>
      <c r="I17" s="41">
        <v>8</v>
      </c>
      <c r="J17" s="19">
        <f>18+27</f>
        <v>45</v>
      </c>
      <c r="K17" s="20">
        <f t="shared" si="0"/>
        <v>50.832999999999998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47</v>
      </c>
      <c r="I18" s="41">
        <v>8.5</v>
      </c>
      <c r="J18" s="19">
        <f>23+38</f>
        <v>61</v>
      </c>
      <c r="K18" s="20">
        <f t="shared" si="0"/>
        <v>50.332999999999998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28</v>
      </c>
      <c r="G19" s="51" t="s">
        <v>47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36</v>
      </c>
      <c r="G20" s="51" t="s">
        <v>46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33</v>
      </c>
      <c r="G21" s="51" t="s">
        <v>46</v>
      </c>
      <c r="I21" s="34"/>
      <c r="J21" s="14">
        <v>0</v>
      </c>
      <c r="K21" s="15"/>
      <c r="L21" s="21">
        <f>+J8</f>
        <v>58.832999999999998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45</v>
      </c>
      <c r="G22" s="51" t="s">
        <v>46</v>
      </c>
      <c r="I22" s="34"/>
      <c r="J22" s="10">
        <v>0</v>
      </c>
      <c r="K22" s="11"/>
      <c r="L22" s="22">
        <f>+K18</f>
        <v>50.332999999999998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8.5</v>
      </c>
      <c r="F23" s="50">
        <f t="shared" si="1"/>
        <v>61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J17" sqref="J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66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555831554</v>
      </c>
      <c r="D5" s="57">
        <v>6204087578</v>
      </c>
      <c r="E5" s="57">
        <v>50828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21062017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50.828000000000003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49.828000000000003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7" si="0">+$J$8-I11</f>
        <v>48.828000000000003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3+4</f>
        <v>7</v>
      </c>
      <c r="K12" s="20">
        <f t="shared" si="0"/>
        <v>47.828000000000003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6+8</f>
        <v>14</v>
      </c>
      <c r="K13" s="20">
        <f t="shared" si="0"/>
        <v>46.828000000000003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14+15</f>
        <v>29</v>
      </c>
      <c r="K14" s="20">
        <f t="shared" si="0"/>
        <v>45.828000000000003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41</v>
      </c>
      <c r="I15" s="41">
        <v>6</v>
      </c>
      <c r="J15" s="19">
        <f>17+18</f>
        <v>35</v>
      </c>
      <c r="K15" s="20">
        <f t="shared" si="0"/>
        <v>44.828000000000003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45</v>
      </c>
      <c r="I16" s="41">
        <v>7</v>
      </c>
      <c r="J16" s="19">
        <f>22+27</f>
        <v>49</v>
      </c>
      <c r="K16" s="20">
        <f t="shared" si="0"/>
        <v>43.828000000000003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</v>
      </c>
      <c r="G17" s="51" t="s">
        <v>44</v>
      </c>
      <c r="I17" s="41">
        <v>8</v>
      </c>
      <c r="J17" s="19">
        <f>22+30</f>
        <v>52</v>
      </c>
      <c r="K17" s="20">
        <f t="shared" si="0"/>
        <v>42.828000000000003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54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29</v>
      </c>
      <c r="G19" s="51" t="s">
        <v>44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35</v>
      </c>
      <c r="G20" s="51" t="s">
        <v>44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49</v>
      </c>
      <c r="G21" s="51" t="s">
        <v>44</v>
      </c>
      <c r="I21" s="34"/>
      <c r="J21" s="14">
        <v>0</v>
      </c>
      <c r="K21" s="15"/>
      <c r="L21" s="21">
        <f>+J8</f>
        <v>50.828000000000003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52</v>
      </c>
      <c r="G22" s="51" t="s">
        <v>47</v>
      </c>
      <c r="I22" s="34"/>
      <c r="J22" s="10">
        <v>0</v>
      </c>
      <c r="K22" s="11"/>
      <c r="L22" s="22">
        <f>+K17</f>
        <v>42.828000000000003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69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555692848</v>
      </c>
      <c r="D5" s="57">
        <v>6204315934</v>
      </c>
      <c r="E5" s="57">
        <v>48166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23062017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48.165999999999997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2+3</f>
        <v>5</v>
      </c>
      <c r="K10" s="20">
        <f>+$J$8-I10</f>
        <v>47.165999999999997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4+5</f>
        <v>9</v>
      </c>
      <c r="K11" s="20">
        <f t="shared" ref="K11:K17" si="0">+$J$8-I11</f>
        <v>46.165999999999997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8+14</f>
        <v>22</v>
      </c>
      <c r="K12" s="20">
        <f t="shared" si="0"/>
        <v>45.165999999999997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15+18</f>
        <v>33</v>
      </c>
      <c r="K13" s="20">
        <f t="shared" si="0"/>
        <v>44.165999999999997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14+20</f>
        <v>34</v>
      </c>
      <c r="K14" s="20">
        <f t="shared" si="0"/>
        <v>43.165999999999997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44</v>
      </c>
      <c r="I15" s="41">
        <v>6</v>
      </c>
      <c r="J15" s="19">
        <f>21+22</f>
        <v>43</v>
      </c>
      <c r="K15" s="20">
        <f t="shared" si="0"/>
        <v>42.165999999999997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105</v>
      </c>
      <c r="I16" s="41">
        <v>7</v>
      </c>
      <c r="J16" s="19">
        <f>21+25</f>
        <v>46</v>
      </c>
      <c r="K16" s="20">
        <f t="shared" si="0"/>
        <v>41.165999999999997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22</v>
      </c>
      <c r="G17" s="51" t="s">
        <v>105</v>
      </c>
      <c r="I17" s="41">
        <v>7.5</v>
      </c>
      <c r="J17" s="19">
        <v>50</v>
      </c>
      <c r="K17" s="20">
        <f t="shared" si="0"/>
        <v>40.665999999999997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33</v>
      </c>
      <c r="G18" s="51" t="s">
        <v>105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34</v>
      </c>
      <c r="G19" s="51" t="s">
        <v>57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43</v>
      </c>
      <c r="G20" s="51" t="s">
        <v>77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46</v>
      </c>
      <c r="G21" s="51" t="s">
        <v>77</v>
      </c>
      <c r="I21" s="34"/>
      <c r="J21" s="14">
        <v>0</v>
      </c>
      <c r="K21" s="15"/>
      <c r="L21" s="21">
        <f>+J8</f>
        <v>48.165999999999997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7.5</v>
      </c>
      <c r="F22" s="50">
        <f t="shared" si="1"/>
        <v>50</v>
      </c>
      <c r="G22" s="51" t="s">
        <v>77</v>
      </c>
      <c r="I22" s="34"/>
      <c r="J22" s="10">
        <v>0</v>
      </c>
      <c r="K22" s="11"/>
      <c r="L22" s="22">
        <f>+K17</f>
        <v>40.665999999999997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70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555578859</v>
      </c>
      <c r="D5" s="57">
        <v>6204487974</v>
      </c>
      <c r="E5" s="57">
        <v>47253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47.253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2+4</f>
        <v>6</v>
      </c>
      <c r="K10" s="20">
        <f>+$J$8-I10</f>
        <v>46.253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4+6</f>
        <v>10</v>
      </c>
      <c r="K11" s="20">
        <f t="shared" ref="K11:K16" si="0">+$J$8-I11</f>
        <v>45.253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13+18</f>
        <v>31</v>
      </c>
      <c r="K12" s="20">
        <f t="shared" si="0"/>
        <v>44.253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18+19</f>
        <v>37</v>
      </c>
      <c r="K13" s="20">
        <f t="shared" si="0"/>
        <v>43.253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18+23</f>
        <v>41</v>
      </c>
      <c r="K14" s="20">
        <f t="shared" si="0"/>
        <v>42.253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45</v>
      </c>
      <c r="I15" s="41">
        <v>6</v>
      </c>
      <c r="J15" s="19">
        <f>16+21</f>
        <v>37</v>
      </c>
      <c r="K15" s="20">
        <f t="shared" si="0"/>
        <v>41.253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42</v>
      </c>
      <c r="I16" s="41">
        <v>7</v>
      </c>
      <c r="J16" s="19">
        <v>50</v>
      </c>
      <c r="K16" s="20">
        <f t="shared" si="0"/>
        <v>40.253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31</v>
      </c>
      <c r="G17" s="51" t="s">
        <v>71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37</v>
      </c>
      <c r="G18" s="51" t="s">
        <v>46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41</v>
      </c>
      <c r="G19" s="51" t="s">
        <v>72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37</v>
      </c>
      <c r="G20" s="51" t="s">
        <v>55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50</v>
      </c>
      <c r="G21" s="51" t="s">
        <v>73</v>
      </c>
      <c r="I21" s="34"/>
      <c r="J21" s="14">
        <v>0</v>
      </c>
      <c r="K21" s="15"/>
      <c r="L21" s="21">
        <f>+J8</f>
        <v>47.253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40.253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74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555510580</v>
      </c>
      <c r="D5" s="57">
        <v>6204680195</v>
      </c>
      <c r="E5" s="57">
        <v>53641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53.640999999999998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>
        <v>1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5+5</f>
        <v>10</v>
      </c>
      <c r="K10" s="20">
        <f>+$J$8-I10</f>
        <v>52.640999999999998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7+8</f>
        <v>15</v>
      </c>
      <c r="K11" s="20">
        <f t="shared" ref="K11:K15" si="0">+$J$8-I11</f>
        <v>51.640999999999998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7+8</f>
        <v>15</v>
      </c>
      <c r="K12" s="20">
        <f t="shared" si="0"/>
        <v>50.640999999999998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9+13</f>
        <v>22</v>
      </c>
      <c r="K13" s="20">
        <f t="shared" si="0"/>
        <v>49.640999999999998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15+14</f>
        <v>29</v>
      </c>
      <c r="K14" s="20">
        <f t="shared" si="0"/>
        <v>48.640999999999998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75</v>
      </c>
      <c r="I15" s="41">
        <v>6</v>
      </c>
      <c r="J15" s="19">
        <f>27+28</f>
        <v>55</v>
      </c>
      <c r="K15" s="20">
        <f t="shared" si="0"/>
        <v>47.640999999999998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75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15</v>
      </c>
      <c r="G17" s="51" t="s">
        <v>76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75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29</v>
      </c>
      <c r="G19" s="51" t="s">
        <v>75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55</v>
      </c>
      <c r="G20" s="51" t="s">
        <v>77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53.640999999999998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47.640999999999998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78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555504027</v>
      </c>
      <c r="D5" s="57">
        <v>6204874182</v>
      </c>
      <c r="E5" s="57">
        <v>53615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53.615000000000002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52.615000000000002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6+9</f>
        <v>15</v>
      </c>
      <c r="K11" s="20">
        <f t="shared" ref="K11:K16" si="0">+$J$8-I11</f>
        <v>51.615000000000002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9+10</f>
        <v>19</v>
      </c>
      <c r="K12" s="20">
        <f t="shared" si="0"/>
        <v>50.615000000000002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12+13</f>
        <v>25</v>
      </c>
      <c r="K13" s="20">
        <f t="shared" si="0"/>
        <v>49.615000000000002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15+22</f>
        <v>37</v>
      </c>
      <c r="K14" s="20">
        <f t="shared" si="0"/>
        <v>48.615000000000002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75</v>
      </c>
      <c r="I15" s="41">
        <v>6</v>
      </c>
      <c r="J15" s="19">
        <f>20+23</f>
        <v>43</v>
      </c>
      <c r="K15" s="20">
        <f t="shared" si="0"/>
        <v>47.615000000000002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75</v>
      </c>
      <c r="I16" s="41">
        <v>7</v>
      </c>
      <c r="J16" s="19">
        <f>32+37</f>
        <v>69</v>
      </c>
      <c r="K16" s="20">
        <f t="shared" si="0"/>
        <v>46.615000000000002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54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25</v>
      </c>
      <c r="G18" s="51" t="s">
        <v>54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37</v>
      </c>
      <c r="G19" s="51" t="s">
        <v>79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43</v>
      </c>
      <c r="G20" s="51" t="s">
        <v>54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69</v>
      </c>
      <c r="G21" s="51" t="s">
        <v>56</v>
      </c>
      <c r="I21" s="34"/>
      <c r="J21" s="14">
        <v>0</v>
      </c>
      <c r="K21" s="15"/>
      <c r="L21" s="21">
        <f>+J8</f>
        <v>53.615000000000002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46.615000000000002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80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555548278</v>
      </c>
      <c r="D5" s="57">
        <v>6205045690</v>
      </c>
      <c r="E5" s="57">
        <v>54818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54.817999999999998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7+7</f>
        <v>14</v>
      </c>
      <c r="K10" s="20">
        <f>+$J$8-I10</f>
        <v>53.817999999999998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6+7</f>
        <v>13</v>
      </c>
      <c r="K11" s="20">
        <f t="shared" ref="K11:K15" si="0">+$J$8-I11</f>
        <v>52.817999999999998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8+10</f>
        <v>18</v>
      </c>
      <c r="K12" s="20">
        <f t="shared" si="0"/>
        <v>51.817999999999998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16+17</f>
        <v>33</v>
      </c>
      <c r="K13" s="20">
        <f t="shared" si="0"/>
        <v>50.817999999999998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20+22</f>
        <v>42</v>
      </c>
      <c r="K14" s="20">
        <f t="shared" si="0"/>
        <v>49.817999999999998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41</v>
      </c>
      <c r="I15" s="41">
        <v>6</v>
      </c>
      <c r="J15" s="19">
        <f>25+29</f>
        <v>54</v>
      </c>
      <c r="K15" s="20">
        <f t="shared" si="0"/>
        <v>48.817999999999998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44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44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33</v>
      </c>
      <c r="G18" s="51" t="s">
        <v>103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42</v>
      </c>
      <c r="G19" s="51" t="s">
        <v>103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54</v>
      </c>
      <c r="G20" s="51" t="s">
        <v>104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54.817999999999998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48.817999999999998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8" t="s">
        <v>19</v>
      </c>
      <c r="E2" s="109"/>
      <c r="F2" s="108" t="s">
        <v>3</v>
      </c>
      <c r="G2" s="109"/>
    </row>
    <row r="3" spans="2:13" ht="15.75" x14ac:dyDescent="0.25">
      <c r="B3" s="54"/>
      <c r="C3" s="28" t="s">
        <v>32</v>
      </c>
      <c r="D3" s="105" t="s">
        <v>68</v>
      </c>
      <c r="E3" s="107"/>
      <c r="F3" s="105" t="s">
        <v>81</v>
      </c>
      <c r="G3" s="107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2" t="s">
        <v>7</v>
      </c>
      <c r="G4" s="104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555605614</v>
      </c>
      <c r="D5" s="57">
        <v>6205154663</v>
      </c>
      <c r="E5" s="57">
        <v>57797</v>
      </c>
      <c r="F5" s="105" t="s">
        <v>20</v>
      </c>
      <c r="G5" s="107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2" t="s">
        <v>6</v>
      </c>
      <c r="F6" s="103"/>
      <c r="G6" s="104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22062017</v>
      </c>
      <c r="E7" s="105" t="s">
        <v>36</v>
      </c>
      <c r="F7" s="106"/>
      <c r="G7" s="107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2" t="s">
        <v>8</v>
      </c>
      <c r="E8" s="103"/>
      <c r="F8" s="103"/>
      <c r="G8" s="104"/>
      <c r="I8" s="39" t="s">
        <v>15</v>
      </c>
      <c r="J8" s="26">
        <f>+E5/1000</f>
        <v>57.796999999999997</v>
      </c>
      <c r="K8" s="8"/>
      <c r="L8" s="8"/>
      <c r="M8" s="38"/>
    </row>
    <row r="9" spans="2:13" ht="15.75" x14ac:dyDescent="0.25">
      <c r="B9" s="28" t="s">
        <v>9</v>
      </c>
      <c r="C9" s="33"/>
      <c r="D9" s="105" t="s">
        <v>39</v>
      </c>
      <c r="E9" s="106"/>
      <c r="F9" s="106"/>
      <c r="G9" s="107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56.796999999999997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6+6</f>
        <v>12</v>
      </c>
      <c r="K11" s="20">
        <f t="shared" ref="K11:K14" si="0">+$J$8-I11</f>
        <v>55.796999999999997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6+10</f>
        <v>16</v>
      </c>
      <c r="K12" s="20">
        <f t="shared" si="0"/>
        <v>54.796999999999997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5+7</f>
        <v>12</v>
      </c>
      <c r="K13" s="20">
        <f t="shared" si="0"/>
        <v>53.796999999999997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11+13</f>
        <v>24</v>
      </c>
      <c r="K14" s="20">
        <f t="shared" si="0"/>
        <v>52.796999999999997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41</v>
      </c>
      <c r="I15" s="41">
        <v>6</v>
      </c>
      <c r="J15" s="19">
        <f>15+20</f>
        <v>35</v>
      </c>
      <c r="K15" s="20">
        <f>+$J$8-I15</f>
        <v>51.796999999999997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82</v>
      </c>
      <c r="I16" s="41">
        <v>7</v>
      </c>
      <c r="J16" s="19">
        <f>16+22</f>
        <v>38</v>
      </c>
      <c r="K16" s="20">
        <f>+$J$8-I16</f>
        <v>50.796999999999997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48</v>
      </c>
      <c r="I17" s="41">
        <v>8</v>
      </c>
      <c r="J17" s="19">
        <f>27+32</f>
        <v>59</v>
      </c>
      <c r="K17" s="20">
        <f>+$J$8-I17</f>
        <v>49.796999999999997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46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24</v>
      </c>
      <c r="G19" s="51" t="s">
        <v>57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35</v>
      </c>
      <c r="G20" s="51" t="s">
        <v>42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38</v>
      </c>
      <c r="G21" s="51" t="s">
        <v>42</v>
      </c>
      <c r="I21" s="34"/>
      <c r="J21" s="14">
        <v>0</v>
      </c>
      <c r="K21" s="15"/>
      <c r="L21" s="21">
        <f>+J8</f>
        <v>57.796999999999997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59</v>
      </c>
      <c r="G22" s="51" t="s">
        <v>42</v>
      </c>
      <c r="I22" s="34"/>
      <c r="J22" s="10">
        <v>0</v>
      </c>
      <c r="K22" s="11"/>
      <c r="L22" s="22">
        <f>+K17</f>
        <v>49.796999999999997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CA_01</vt:lpstr>
      <vt:lpstr>CA_02</vt:lpstr>
      <vt:lpstr>CA_03</vt:lpstr>
      <vt:lpstr>CA_04</vt:lpstr>
      <vt:lpstr>CA_05</vt:lpstr>
      <vt:lpstr>CA_06</vt:lpstr>
      <vt:lpstr>CA_07 </vt:lpstr>
      <vt:lpstr>CA_08</vt:lpstr>
      <vt:lpstr>CA_09</vt:lpstr>
      <vt:lpstr>CA_10</vt:lpstr>
      <vt:lpstr>CA_11</vt:lpstr>
      <vt:lpstr>CA_12</vt:lpstr>
      <vt:lpstr>CA_13</vt:lpstr>
      <vt:lpstr>SL_14</vt:lpstr>
      <vt:lpstr>CA_14</vt:lpstr>
      <vt:lpstr>CA_15</vt:lpstr>
      <vt:lpstr>CA_16</vt:lpstr>
      <vt:lpstr>CA_17</vt:lpstr>
      <vt:lpstr>CA_18</vt:lpstr>
      <vt:lpstr>CA_19</vt:lpstr>
      <vt:lpstr>CA_20</vt:lpstr>
      <vt:lpstr>CA_21</vt:lpstr>
      <vt:lpstr>CA_22</vt:lpstr>
      <vt:lpstr>CA_23</vt:lpstr>
      <vt:lpstr>CA_24</vt:lpstr>
      <vt:lpstr>CA_01!Área_de_impresión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2017-07-28T05:57:39Z</dcterms:modified>
</cp:coreProperties>
</file>