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vy\Dropbox\UPM-FASE_2\LEMAC Tecnología - UPM FASE 2 - REPORTS\TRAMO CA\"/>
    </mc:Choice>
  </mc:AlternateContent>
  <bookViews>
    <workbookView xWindow="0" yWindow="0" windowWidth="13170" windowHeight="10380"/>
  </bookViews>
  <sheets>
    <sheet name="CA_01" sheetId="1" r:id="rId1"/>
    <sheet name="CA_02" sheetId="2" r:id="rId2"/>
    <sheet name="CA_03" sheetId="3" r:id="rId3"/>
    <sheet name="CA_04" sheetId="4" r:id="rId4"/>
    <sheet name="CA_05" sheetId="5" r:id="rId5"/>
    <sheet name="CA_06" sheetId="6" r:id="rId6"/>
    <sheet name="CA_07 " sheetId="7" r:id="rId7"/>
    <sheet name="CA_08" sheetId="8" r:id="rId8"/>
    <sheet name="CA_09" sheetId="9" r:id="rId9"/>
    <sheet name="CA_10" sheetId="10" r:id="rId10"/>
    <sheet name="CA_11" sheetId="11" r:id="rId11"/>
    <sheet name="CA_12" sheetId="12" r:id="rId12"/>
    <sheet name="CA_13" sheetId="13" r:id="rId13"/>
    <sheet name="SL_14" sheetId="14" state="hidden" r:id="rId14"/>
    <sheet name="CA_14" sheetId="41" r:id="rId15"/>
    <sheet name="CA_15" sheetId="15" r:id="rId16"/>
    <sheet name="CA_16" sheetId="16" r:id="rId17"/>
    <sheet name="CA_17" sheetId="17" r:id="rId18"/>
    <sheet name="CA_18" sheetId="18" r:id="rId19"/>
    <sheet name="CA_19" sheetId="19" r:id="rId20"/>
    <sheet name="CA_20" sheetId="20" r:id="rId21"/>
    <sheet name="CA_21" sheetId="21" r:id="rId22"/>
    <sheet name="CA_22" sheetId="22" r:id="rId23"/>
    <sheet name="CA_23" sheetId="24" r:id="rId24"/>
    <sheet name="CA_24" sheetId="23" r:id="rId25"/>
  </sheets>
  <definedNames>
    <definedName name="_xlnm.Print_Area" localSheetId="0">CA_01!$A$1:$G$28</definedName>
  </definedNames>
  <calcPr calcId="171027"/>
</workbook>
</file>

<file path=xl/calcChain.xml><?xml version="1.0" encoding="utf-8"?>
<calcChain xmlns="http://schemas.openxmlformats.org/spreadsheetml/2006/main">
  <c r="J16" i="3" l="1"/>
  <c r="J18" i="23" l="1"/>
  <c r="J17" i="23"/>
  <c r="J16" i="23"/>
  <c r="J15" i="23"/>
  <c r="J14" i="23"/>
  <c r="J13" i="23"/>
  <c r="J12" i="23"/>
  <c r="J11" i="23"/>
  <c r="J10" i="23"/>
  <c r="J19" i="24"/>
  <c r="J18" i="24"/>
  <c r="J17" i="24"/>
  <c r="J16" i="24"/>
  <c r="J15" i="24"/>
  <c r="J14" i="24"/>
  <c r="J13" i="24"/>
  <c r="J12" i="24"/>
  <c r="J11" i="24"/>
  <c r="J10" i="24"/>
  <c r="J17" i="22"/>
  <c r="J16" i="22"/>
  <c r="J15" i="22"/>
  <c r="J14" i="22"/>
  <c r="J13" i="22"/>
  <c r="J12" i="22"/>
  <c r="J11" i="22"/>
  <c r="J10" i="22"/>
  <c r="J18" i="21"/>
  <c r="J17" i="21"/>
  <c r="J16" i="21"/>
  <c r="J15" i="21"/>
  <c r="J14" i="21"/>
  <c r="J13" i="21"/>
  <c r="J12" i="21"/>
  <c r="J11" i="21"/>
  <c r="J10" i="21"/>
  <c r="J19" i="20"/>
  <c r="J18" i="20"/>
  <c r="J17" i="20"/>
  <c r="J16" i="20"/>
  <c r="J15" i="20"/>
  <c r="J14" i="20"/>
  <c r="J13" i="20"/>
  <c r="J12" i="20"/>
  <c r="J11" i="20"/>
  <c r="J10" i="20"/>
  <c r="J19" i="19"/>
  <c r="J18" i="19"/>
  <c r="J17" i="19"/>
  <c r="J16" i="19"/>
  <c r="J15" i="19"/>
  <c r="J14" i="19"/>
  <c r="J13" i="19"/>
  <c r="J12" i="19"/>
  <c r="J11" i="19"/>
  <c r="J10" i="19"/>
  <c r="E19" i="18"/>
  <c r="E20" i="18"/>
  <c r="E21" i="18"/>
  <c r="E22" i="18"/>
  <c r="E23" i="18"/>
  <c r="E24" i="18"/>
  <c r="J18" i="18"/>
  <c r="J17" i="18"/>
  <c r="J16" i="18"/>
  <c r="J15" i="18"/>
  <c r="J14" i="18"/>
  <c r="J13" i="18"/>
  <c r="J12" i="18"/>
  <c r="J11" i="18"/>
  <c r="J10" i="18"/>
  <c r="J17" i="17"/>
  <c r="J16" i="17"/>
  <c r="J15" i="17"/>
  <c r="J14" i="17"/>
  <c r="J13" i="17"/>
  <c r="J12" i="17"/>
  <c r="J11" i="17"/>
  <c r="J10" i="17"/>
  <c r="J18" i="16"/>
  <c r="J17" i="16"/>
  <c r="J16" i="16"/>
  <c r="J15" i="16"/>
  <c r="J14" i="16"/>
  <c r="J13" i="16"/>
  <c r="J12" i="16"/>
  <c r="J11" i="16"/>
  <c r="J10" i="16"/>
  <c r="J17" i="15"/>
  <c r="J16" i="15"/>
  <c r="J15" i="15"/>
  <c r="J14" i="15"/>
  <c r="J13" i="15"/>
  <c r="J12" i="15"/>
  <c r="J11" i="15"/>
  <c r="J10" i="15"/>
  <c r="J18" i="41"/>
  <c r="F23" i="41" s="1"/>
  <c r="J17" i="41"/>
  <c r="F22" i="41" s="1"/>
  <c r="J16" i="41"/>
  <c r="J15" i="41"/>
  <c r="J14" i="41"/>
  <c r="J13" i="41"/>
  <c r="J12" i="41"/>
  <c r="F17" i="41" s="1"/>
  <c r="J11" i="41"/>
  <c r="F16" i="41" s="1"/>
  <c r="J10" i="41"/>
  <c r="F15" i="41" s="1"/>
  <c r="F26" i="41"/>
  <c r="E26" i="41"/>
  <c r="E25" i="41"/>
  <c r="F24" i="41"/>
  <c r="E24" i="41"/>
  <c r="E23" i="41"/>
  <c r="E22" i="41"/>
  <c r="E21" i="41"/>
  <c r="F25" i="41"/>
  <c r="F20" i="41"/>
  <c r="E20" i="41"/>
  <c r="E19" i="41"/>
  <c r="E18" i="41"/>
  <c r="E17" i="41"/>
  <c r="F21" i="41"/>
  <c r="E16" i="41"/>
  <c r="E15" i="41"/>
  <c r="F19" i="41"/>
  <c r="F18" i="41"/>
  <c r="J8" i="41"/>
  <c r="K13" i="41" l="1"/>
  <c r="K10" i="41"/>
  <c r="K14" i="41"/>
  <c r="K16" i="41"/>
  <c r="K18" i="41"/>
  <c r="L22" i="41" s="1"/>
  <c r="L21" i="41"/>
  <c r="K11" i="41"/>
  <c r="K12" i="41"/>
  <c r="K15" i="41"/>
  <c r="K17" i="41"/>
  <c r="J16" i="13" l="1"/>
  <c r="J15" i="13"/>
  <c r="J14" i="13"/>
  <c r="J13" i="13"/>
  <c r="J12" i="13"/>
  <c r="J11" i="13"/>
  <c r="J10" i="13"/>
  <c r="J16" i="12"/>
  <c r="J15" i="12"/>
  <c r="J14" i="12"/>
  <c r="J13" i="12"/>
  <c r="J12" i="12"/>
  <c r="J11" i="12"/>
  <c r="J10" i="12"/>
  <c r="J16" i="11"/>
  <c r="J15" i="11"/>
  <c r="J14" i="11"/>
  <c r="J13" i="11"/>
  <c r="J12" i="11"/>
  <c r="J11" i="11"/>
  <c r="J10" i="11"/>
  <c r="J15" i="10"/>
  <c r="J14" i="10"/>
  <c r="J13" i="10"/>
  <c r="J12" i="10"/>
  <c r="J11" i="10"/>
  <c r="J10" i="10"/>
  <c r="J17" i="9"/>
  <c r="J16" i="9"/>
  <c r="J15" i="9"/>
  <c r="J14" i="9"/>
  <c r="J13" i="9"/>
  <c r="J12" i="9"/>
  <c r="J11" i="9"/>
  <c r="J10" i="9"/>
  <c r="J15" i="8" l="1"/>
  <c r="J14" i="8"/>
  <c r="J13" i="8"/>
  <c r="J12" i="8"/>
  <c r="J11" i="8"/>
  <c r="J10" i="8"/>
  <c r="J16" i="7"/>
  <c r="J15" i="7"/>
  <c r="J14" i="7"/>
  <c r="J13" i="7"/>
  <c r="J12" i="7"/>
  <c r="J10" i="7"/>
  <c r="J11" i="7"/>
  <c r="J15" i="6"/>
  <c r="J14" i="6"/>
  <c r="J13" i="6"/>
  <c r="J12" i="6"/>
  <c r="J11" i="6"/>
  <c r="J10" i="6"/>
  <c r="J15" i="5"/>
  <c r="J14" i="5"/>
  <c r="J13" i="5"/>
  <c r="J11" i="5"/>
  <c r="J10" i="5"/>
  <c r="J12" i="5"/>
  <c r="J16" i="4"/>
  <c r="J15" i="4"/>
  <c r="J14" i="4"/>
  <c r="J13" i="4"/>
  <c r="J12" i="4"/>
  <c r="J11" i="4"/>
  <c r="J10" i="4"/>
  <c r="J17" i="3"/>
  <c r="J15" i="3"/>
  <c r="J14" i="3"/>
  <c r="J13" i="3"/>
  <c r="J12" i="3"/>
  <c r="J11" i="3"/>
  <c r="J10" i="3"/>
  <c r="J17" i="2"/>
  <c r="J16" i="2"/>
  <c r="J15" i="2"/>
  <c r="J14" i="2"/>
  <c r="J13" i="2"/>
  <c r="J12" i="2"/>
  <c r="J11" i="2"/>
  <c r="J10" i="2"/>
  <c r="J18" i="1"/>
  <c r="J17" i="1"/>
  <c r="J16" i="1"/>
  <c r="J15" i="1"/>
  <c r="J14" i="1"/>
  <c r="J13" i="1"/>
  <c r="J12" i="1"/>
  <c r="J11" i="1"/>
  <c r="J10" i="1"/>
  <c r="F26" i="24" l="1"/>
  <c r="E26" i="24"/>
  <c r="F25" i="24"/>
  <c r="E25" i="24"/>
  <c r="F24" i="24"/>
  <c r="E24" i="24"/>
  <c r="F23" i="24"/>
  <c r="E23" i="24"/>
  <c r="F22" i="24"/>
  <c r="E22" i="24"/>
  <c r="F21" i="24"/>
  <c r="E21" i="24"/>
  <c r="F20" i="24"/>
  <c r="E20" i="24"/>
  <c r="E19" i="24"/>
  <c r="E18" i="24"/>
  <c r="F17" i="24"/>
  <c r="E17" i="24"/>
  <c r="F16" i="24"/>
  <c r="E16" i="24"/>
  <c r="E15" i="24"/>
  <c r="F19" i="24"/>
  <c r="F18" i="24"/>
  <c r="F15" i="24"/>
  <c r="J8" i="24"/>
  <c r="F26" i="23"/>
  <c r="E26" i="23"/>
  <c r="F25" i="23"/>
  <c r="E25" i="23"/>
  <c r="F24" i="23"/>
  <c r="E24" i="23"/>
  <c r="F23" i="23"/>
  <c r="E23" i="23"/>
  <c r="F22" i="23"/>
  <c r="E22" i="23"/>
  <c r="F21" i="23"/>
  <c r="E21" i="23"/>
  <c r="F20" i="23"/>
  <c r="E20" i="23"/>
  <c r="E19" i="23"/>
  <c r="E18" i="23"/>
  <c r="F17" i="23"/>
  <c r="E17" i="23"/>
  <c r="F16" i="23"/>
  <c r="E16" i="23"/>
  <c r="E15" i="23"/>
  <c r="F19" i="23"/>
  <c r="F18" i="23"/>
  <c r="F15" i="23"/>
  <c r="J8" i="23"/>
  <c r="F26" i="22"/>
  <c r="E26" i="22"/>
  <c r="F25" i="22"/>
  <c r="E25" i="22"/>
  <c r="F24" i="22"/>
  <c r="E24" i="22"/>
  <c r="F23" i="22"/>
  <c r="E23" i="22"/>
  <c r="F22" i="22"/>
  <c r="E22" i="22"/>
  <c r="F21" i="22"/>
  <c r="E21" i="22"/>
  <c r="F20" i="22"/>
  <c r="E20" i="22"/>
  <c r="E19" i="22"/>
  <c r="E18" i="22"/>
  <c r="F17" i="22"/>
  <c r="E17" i="22"/>
  <c r="F16" i="22"/>
  <c r="E16" i="22"/>
  <c r="E15" i="22"/>
  <c r="F19" i="22"/>
  <c r="F18" i="22"/>
  <c r="F15" i="22"/>
  <c r="J8" i="22"/>
  <c r="F26" i="21"/>
  <c r="E26" i="21"/>
  <c r="F25" i="21"/>
  <c r="E25" i="21"/>
  <c r="F24" i="21"/>
  <c r="E24" i="21"/>
  <c r="F23" i="21"/>
  <c r="E23" i="21"/>
  <c r="F22" i="21"/>
  <c r="E22" i="21"/>
  <c r="F21" i="21"/>
  <c r="E21" i="21"/>
  <c r="F20" i="21"/>
  <c r="E20" i="21"/>
  <c r="E19" i="21"/>
  <c r="E18" i="21"/>
  <c r="F17" i="21"/>
  <c r="E17" i="21"/>
  <c r="F16" i="21"/>
  <c r="E16" i="21"/>
  <c r="E15" i="21"/>
  <c r="F19" i="21"/>
  <c r="F18" i="21"/>
  <c r="F15" i="21"/>
  <c r="J8" i="21"/>
  <c r="F26" i="20"/>
  <c r="E26" i="20"/>
  <c r="F25" i="20"/>
  <c r="E25" i="20"/>
  <c r="F24" i="20"/>
  <c r="E24" i="20"/>
  <c r="F23" i="20"/>
  <c r="E23" i="20"/>
  <c r="F22" i="20"/>
  <c r="E22" i="20"/>
  <c r="F21" i="20"/>
  <c r="E21" i="20"/>
  <c r="F20" i="20"/>
  <c r="E20" i="20"/>
  <c r="F19" i="20"/>
  <c r="E19" i="20"/>
  <c r="E18" i="20"/>
  <c r="F17" i="20"/>
  <c r="E17" i="20"/>
  <c r="E16" i="20"/>
  <c r="F15" i="20"/>
  <c r="E15" i="20"/>
  <c r="F18" i="20"/>
  <c r="F16" i="20"/>
  <c r="J8" i="20"/>
  <c r="F26" i="19"/>
  <c r="E26" i="19"/>
  <c r="F25" i="19"/>
  <c r="E25" i="19"/>
  <c r="F24" i="19"/>
  <c r="E24" i="19"/>
  <c r="F23" i="19"/>
  <c r="E23" i="19"/>
  <c r="F22" i="19"/>
  <c r="E22" i="19"/>
  <c r="F21" i="19"/>
  <c r="E21" i="19"/>
  <c r="F20" i="19"/>
  <c r="E20" i="19"/>
  <c r="E19" i="19"/>
  <c r="E18" i="19"/>
  <c r="F17" i="19"/>
  <c r="E17" i="19"/>
  <c r="F16" i="19"/>
  <c r="E16" i="19"/>
  <c r="E15" i="19"/>
  <c r="F19" i="19"/>
  <c r="F18" i="19"/>
  <c r="F15" i="19"/>
  <c r="J8" i="19"/>
  <c r="F26" i="18"/>
  <c r="E26" i="18"/>
  <c r="F25" i="18"/>
  <c r="E25" i="18"/>
  <c r="F24" i="18"/>
  <c r="F23" i="18"/>
  <c r="F22" i="18"/>
  <c r="F21" i="18"/>
  <c r="F20" i="18"/>
  <c r="E18" i="18"/>
  <c r="F17" i="18"/>
  <c r="E17" i="18"/>
  <c r="F16" i="18"/>
  <c r="E16" i="18"/>
  <c r="E15" i="18"/>
  <c r="F19" i="18"/>
  <c r="F18" i="18"/>
  <c r="F15" i="18"/>
  <c r="J8" i="18"/>
  <c r="K16" i="18" l="1"/>
  <c r="K17" i="18"/>
  <c r="K18" i="18"/>
  <c r="L22" i="18" s="1"/>
  <c r="K14" i="18"/>
  <c r="K15" i="18"/>
  <c r="K11" i="20"/>
  <c r="K18" i="20"/>
  <c r="K17" i="20"/>
  <c r="K16" i="20"/>
  <c r="K15" i="20"/>
  <c r="K19" i="20"/>
  <c r="L22" i="20" s="1"/>
  <c r="K15" i="21"/>
  <c r="K18" i="21"/>
  <c r="L22" i="21" s="1"/>
  <c r="K17" i="21"/>
  <c r="K16" i="21"/>
  <c r="K15" i="22"/>
  <c r="K17" i="22"/>
  <c r="L22" i="22" s="1"/>
  <c r="K16" i="22"/>
  <c r="K15" i="24"/>
  <c r="K17" i="24"/>
  <c r="K16" i="24"/>
  <c r="K19" i="24"/>
  <c r="L22" i="24" s="1"/>
  <c r="K18" i="24"/>
  <c r="K15" i="23"/>
  <c r="K18" i="23"/>
  <c r="L22" i="23" s="1"/>
  <c r="K17" i="23"/>
  <c r="K16" i="23"/>
  <c r="K18" i="19"/>
  <c r="K16" i="19"/>
  <c r="K17" i="19"/>
  <c r="K15" i="19"/>
  <c r="K19" i="19"/>
  <c r="L22" i="19" s="1"/>
  <c r="K10" i="20"/>
  <c r="K12" i="20"/>
  <c r="K13" i="24"/>
  <c r="K10" i="24"/>
  <c r="K14" i="24"/>
  <c r="L21" i="24"/>
  <c r="K11" i="24"/>
  <c r="K12" i="24"/>
  <c r="K13" i="23"/>
  <c r="K10" i="23"/>
  <c r="K14" i="23"/>
  <c r="L21" i="23"/>
  <c r="K11" i="23"/>
  <c r="K12" i="23"/>
  <c r="K10" i="22"/>
  <c r="K14" i="22"/>
  <c r="L21" i="22"/>
  <c r="K13" i="22"/>
  <c r="K11" i="22"/>
  <c r="K12" i="22"/>
  <c r="K13" i="21"/>
  <c r="K10" i="21"/>
  <c r="K14" i="21"/>
  <c r="L21" i="21"/>
  <c r="K11" i="21"/>
  <c r="K12" i="21"/>
  <c r="K13" i="20"/>
  <c r="K14" i="20"/>
  <c r="L21" i="20"/>
  <c r="K13" i="19"/>
  <c r="K14" i="19"/>
  <c r="K11" i="19"/>
  <c r="K10" i="19"/>
  <c r="L21" i="19"/>
  <c r="K12" i="19"/>
  <c r="K13" i="18"/>
  <c r="K11" i="18"/>
  <c r="K10" i="18"/>
  <c r="L21" i="18"/>
  <c r="K12" i="18"/>
  <c r="J13" i="14"/>
  <c r="J14" i="14"/>
  <c r="J15" i="14"/>
  <c r="J16" i="14"/>
  <c r="J17" i="14"/>
  <c r="J18" i="14"/>
  <c r="J19" i="14"/>
  <c r="J20" i="14"/>
  <c r="J12" i="14"/>
  <c r="J11" i="14"/>
  <c r="J10" i="14"/>
  <c r="J8" i="17" l="1"/>
  <c r="J8" i="16"/>
  <c r="J8" i="15"/>
  <c r="K17" i="15" s="1"/>
  <c r="L22" i="15" s="1"/>
  <c r="J8" i="14"/>
  <c r="J8" i="13"/>
  <c r="J8" i="12"/>
  <c r="K16" i="12" s="1"/>
  <c r="L22" i="12" s="1"/>
  <c r="J8" i="11"/>
  <c r="J8" i="10"/>
  <c r="J8" i="9"/>
  <c r="J8" i="8"/>
  <c r="J8" i="7"/>
  <c r="J8" i="6"/>
  <c r="J8" i="5"/>
  <c r="J8" i="4"/>
  <c r="J8" i="3"/>
  <c r="J8" i="2"/>
  <c r="J8" i="1"/>
  <c r="K16" i="17" l="1"/>
  <c r="K17" i="17"/>
  <c r="L22" i="17" s="1"/>
  <c r="K15" i="9"/>
  <c r="K17" i="9"/>
  <c r="L22" i="9" s="1"/>
  <c r="K16" i="9"/>
  <c r="K14" i="7"/>
  <c r="K16" i="7"/>
  <c r="L22" i="7" s="1"/>
  <c r="K15" i="7"/>
  <c r="K15" i="5"/>
  <c r="K16" i="5"/>
  <c r="L22" i="5" s="1"/>
  <c r="K17" i="4"/>
  <c r="L22" i="4" s="1"/>
  <c r="K16" i="4"/>
  <c r="K15" i="4"/>
  <c r="K15" i="3"/>
  <c r="K17" i="3"/>
  <c r="L22" i="3" s="1"/>
  <c r="K16" i="3"/>
  <c r="K18" i="1"/>
  <c r="L22" i="1" s="1"/>
  <c r="K17" i="1"/>
  <c r="K16" i="1"/>
  <c r="K14" i="8"/>
  <c r="K15" i="8"/>
  <c r="L22" i="8" s="1"/>
  <c r="K18" i="16"/>
  <c r="L22" i="16" s="1"/>
  <c r="K17" i="16"/>
  <c r="K16" i="16"/>
  <c r="K15" i="16"/>
  <c r="K14" i="16"/>
  <c r="K14" i="6"/>
  <c r="K15" i="6"/>
  <c r="L22" i="6" s="1"/>
  <c r="K17" i="2"/>
  <c r="L22" i="2" s="1"/>
  <c r="K16" i="2"/>
  <c r="F26" i="17"/>
  <c r="E26" i="17"/>
  <c r="F25" i="17"/>
  <c r="E25" i="17"/>
  <c r="F24" i="17"/>
  <c r="E24" i="17"/>
  <c r="F23" i="17"/>
  <c r="E23" i="17"/>
  <c r="F22" i="17"/>
  <c r="E22" i="17"/>
  <c r="L21" i="17"/>
  <c r="F21" i="17"/>
  <c r="E21" i="17"/>
  <c r="F20" i="17"/>
  <c r="E20" i="17"/>
  <c r="F19" i="17"/>
  <c r="E19" i="17"/>
  <c r="F18" i="17"/>
  <c r="E18" i="17"/>
  <c r="F17" i="17"/>
  <c r="E17" i="17"/>
  <c r="F16" i="17"/>
  <c r="E16" i="17"/>
  <c r="K15" i="17"/>
  <c r="F15" i="17"/>
  <c r="E15" i="17"/>
  <c r="K14" i="17"/>
  <c r="K13" i="17"/>
  <c r="K12" i="17"/>
  <c r="K11" i="17"/>
  <c r="K10" i="17"/>
  <c r="F26" i="16"/>
  <c r="E26" i="16"/>
  <c r="F25" i="16"/>
  <c r="E25" i="16"/>
  <c r="F24" i="16"/>
  <c r="E24" i="16"/>
  <c r="F23" i="16"/>
  <c r="E23" i="16"/>
  <c r="F22" i="16"/>
  <c r="E22" i="16"/>
  <c r="L21" i="16"/>
  <c r="F21" i="16"/>
  <c r="E21" i="16"/>
  <c r="F20" i="16"/>
  <c r="E20" i="16"/>
  <c r="F19" i="16"/>
  <c r="E19" i="16"/>
  <c r="F18" i="16"/>
  <c r="E18" i="16"/>
  <c r="F17" i="16"/>
  <c r="E17" i="16"/>
  <c r="F16" i="16"/>
  <c r="E16" i="16"/>
  <c r="F15" i="16"/>
  <c r="E15" i="16"/>
  <c r="K13" i="16"/>
  <c r="K12" i="16"/>
  <c r="K11" i="16"/>
  <c r="K10" i="16"/>
  <c r="F26" i="15"/>
  <c r="E26" i="15"/>
  <c r="F25" i="15"/>
  <c r="E25" i="15"/>
  <c r="F24" i="15"/>
  <c r="E24" i="15"/>
  <c r="F23" i="15"/>
  <c r="E23" i="15"/>
  <c r="F22" i="15"/>
  <c r="E22" i="15"/>
  <c r="L21" i="15"/>
  <c r="F21" i="15"/>
  <c r="E21" i="15"/>
  <c r="F20" i="15"/>
  <c r="E20" i="15"/>
  <c r="F19" i="15"/>
  <c r="E19" i="15"/>
  <c r="F18" i="15"/>
  <c r="E18" i="15"/>
  <c r="F17" i="15"/>
  <c r="E17" i="15"/>
  <c r="K16" i="15"/>
  <c r="F16" i="15"/>
  <c r="E16" i="15"/>
  <c r="K15" i="15"/>
  <c r="F15" i="15"/>
  <c r="E15" i="15"/>
  <c r="K14" i="15"/>
  <c r="K13" i="15"/>
  <c r="K12" i="15"/>
  <c r="K11" i="15"/>
  <c r="K10" i="15"/>
  <c r="F26" i="14"/>
  <c r="E26" i="14"/>
  <c r="F25" i="14"/>
  <c r="E25" i="14"/>
  <c r="F24" i="14"/>
  <c r="E24" i="14"/>
  <c r="F23" i="14"/>
  <c r="E23" i="14"/>
  <c r="F22" i="14"/>
  <c r="E22" i="14"/>
  <c r="L21" i="14"/>
  <c r="F21" i="14"/>
  <c r="E21" i="14"/>
  <c r="K20" i="14"/>
  <c r="L22" i="14" s="1"/>
  <c r="F20" i="14"/>
  <c r="E20" i="14"/>
  <c r="K19" i="14"/>
  <c r="F19" i="14"/>
  <c r="E19" i="14"/>
  <c r="K18" i="14"/>
  <c r="F18" i="14"/>
  <c r="E18" i="14"/>
  <c r="K17" i="14"/>
  <c r="F17" i="14"/>
  <c r="E17" i="14"/>
  <c r="K16" i="14"/>
  <c r="F16" i="14"/>
  <c r="E16" i="14"/>
  <c r="K15" i="14"/>
  <c r="F15" i="14"/>
  <c r="E15" i="14"/>
  <c r="K14" i="14"/>
  <c r="K13" i="14"/>
  <c r="K12" i="14"/>
  <c r="K11" i="14"/>
  <c r="K10" i="14"/>
  <c r="F26" i="13"/>
  <c r="E26" i="13"/>
  <c r="F25" i="13"/>
  <c r="E25" i="13"/>
  <c r="F24" i="13"/>
  <c r="E24" i="13"/>
  <c r="F23" i="13"/>
  <c r="E23" i="13"/>
  <c r="F22" i="13"/>
  <c r="E22" i="13"/>
  <c r="L21" i="13"/>
  <c r="F21" i="13"/>
  <c r="E21" i="13"/>
  <c r="F20" i="13"/>
  <c r="E20" i="13"/>
  <c r="F19" i="13"/>
  <c r="E19" i="13"/>
  <c r="F18" i="13"/>
  <c r="E18" i="13"/>
  <c r="K17" i="13"/>
  <c r="L22" i="13" s="1"/>
  <c r="F17" i="13"/>
  <c r="E17" i="13"/>
  <c r="K16" i="13"/>
  <c r="F16" i="13"/>
  <c r="E16" i="13"/>
  <c r="K15" i="13"/>
  <c r="F15" i="13"/>
  <c r="E15" i="13"/>
  <c r="K14" i="13"/>
  <c r="K13" i="13"/>
  <c r="K12" i="13"/>
  <c r="K11" i="13"/>
  <c r="K10" i="13"/>
  <c r="F26" i="12"/>
  <c r="E26" i="12"/>
  <c r="F25" i="12"/>
  <c r="E25" i="12"/>
  <c r="F24" i="12"/>
  <c r="E24" i="12"/>
  <c r="F23" i="12"/>
  <c r="E23" i="12"/>
  <c r="F22" i="12"/>
  <c r="E22" i="12"/>
  <c r="L21" i="12"/>
  <c r="F21" i="12"/>
  <c r="E21" i="12"/>
  <c r="F20" i="12"/>
  <c r="E20" i="12"/>
  <c r="F19" i="12"/>
  <c r="E19" i="12"/>
  <c r="F18" i="12"/>
  <c r="E18" i="12"/>
  <c r="F17" i="12"/>
  <c r="E17" i="12"/>
  <c r="F16" i="12"/>
  <c r="E16" i="12"/>
  <c r="K15" i="12"/>
  <c r="F15" i="12"/>
  <c r="E15" i="12"/>
  <c r="K14" i="12"/>
  <c r="K13" i="12"/>
  <c r="K12" i="12"/>
  <c r="K11" i="12"/>
  <c r="K10" i="12"/>
  <c r="F26" i="11"/>
  <c r="E26" i="11"/>
  <c r="F25" i="11"/>
  <c r="E25" i="11"/>
  <c r="F24" i="11"/>
  <c r="E24" i="11"/>
  <c r="F23" i="11"/>
  <c r="E23" i="11"/>
  <c r="F22" i="11"/>
  <c r="E22" i="11"/>
  <c r="L21" i="11"/>
  <c r="F21" i="11"/>
  <c r="E21" i="11"/>
  <c r="F20" i="11"/>
  <c r="E20" i="11"/>
  <c r="F19" i="11"/>
  <c r="E19" i="11"/>
  <c r="F18" i="11"/>
  <c r="E18" i="11"/>
  <c r="F17" i="11"/>
  <c r="E17" i="11"/>
  <c r="K16" i="11"/>
  <c r="L22" i="11" s="1"/>
  <c r="F16" i="11"/>
  <c r="E16" i="11"/>
  <c r="K15" i="11"/>
  <c r="F15" i="11"/>
  <c r="E15" i="11"/>
  <c r="K14" i="11"/>
  <c r="K13" i="11"/>
  <c r="K12" i="11"/>
  <c r="K11" i="11"/>
  <c r="K10" i="11"/>
  <c r="F26" i="10"/>
  <c r="E26" i="10"/>
  <c r="F25" i="10"/>
  <c r="E25" i="10"/>
  <c r="F24" i="10"/>
  <c r="E24" i="10"/>
  <c r="F23" i="10"/>
  <c r="E23" i="10"/>
  <c r="F22" i="10"/>
  <c r="E22" i="10"/>
  <c r="L21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K15" i="10"/>
  <c r="L22" i="10" s="1"/>
  <c r="F15" i="10"/>
  <c r="E15" i="10"/>
  <c r="K14" i="10"/>
  <c r="K13" i="10"/>
  <c r="K12" i="10"/>
  <c r="K11" i="10"/>
  <c r="K10" i="10"/>
  <c r="F26" i="9"/>
  <c r="E26" i="9"/>
  <c r="F25" i="9"/>
  <c r="E25" i="9"/>
  <c r="F24" i="9"/>
  <c r="E24" i="9"/>
  <c r="F23" i="9"/>
  <c r="E23" i="9"/>
  <c r="F22" i="9"/>
  <c r="E22" i="9"/>
  <c r="L21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K14" i="9"/>
  <c r="K13" i="9"/>
  <c r="K12" i="9"/>
  <c r="K11" i="9"/>
  <c r="K10" i="9"/>
  <c r="F26" i="8"/>
  <c r="E26" i="8"/>
  <c r="F25" i="8"/>
  <c r="E25" i="8"/>
  <c r="F24" i="8"/>
  <c r="E24" i="8"/>
  <c r="F23" i="8"/>
  <c r="E23" i="8"/>
  <c r="F22" i="8"/>
  <c r="E22" i="8"/>
  <c r="L21" i="8"/>
  <c r="F21" i="8"/>
  <c r="E21" i="8"/>
  <c r="F20" i="8"/>
  <c r="E20" i="8"/>
  <c r="F19" i="8"/>
  <c r="E19" i="8"/>
  <c r="F18" i="8"/>
  <c r="E18" i="8"/>
  <c r="F17" i="8"/>
  <c r="E17" i="8"/>
  <c r="F16" i="8"/>
  <c r="E16" i="8"/>
  <c r="F15" i="8"/>
  <c r="E15" i="8"/>
  <c r="K13" i="8"/>
  <c r="K12" i="8"/>
  <c r="K11" i="8"/>
  <c r="K10" i="8"/>
  <c r="F26" i="7"/>
  <c r="E26" i="7"/>
  <c r="F25" i="7"/>
  <c r="E25" i="7"/>
  <c r="F24" i="7"/>
  <c r="E24" i="7"/>
  <c r="F23" i="7"/>
  <c r="E23" i="7"/>
  <c r="F22" i="7"/>
  <c r="E22" i="7"/>
  <c r="L21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K13" i="7"/>
  <c r="K12" i="7"/>
  <c r="K11" i="7"/>
  <c r="K10" i="7"/>
  <c r="F26" i="6"/>
  <c r="E26" i="6"/>
  <c r="F25" i="6"/>
  <c r="E25" i="6"/>
  <c r="F24" i="6"/>
  <c r="E24" i="6"/>
  <c r="F23" i="6"/>
  <c r="E23" i="6"/>
  <c r="F22" i="6"/>
  <c r="E22" i="6"/>
  <c r="L21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K13" i="6"/>
  <c r="K12" i="6"/>
  <c r="K11" i="6"/>
  <c r="K10" i="6"/>
  <c r="F26" i="5"/>
  <c r="E26" i="5"/>
  <c r="F25" i="5"/>
  <c r="E25" i="5"/>
  <c r="F24" i="5"/>
  <c r="E24" i="5"/>
  <c r="F23" i="5"/>
  <c r="E23" i="5"/>
  <c r="F22" i="5"/>
  <c r="E22" i="5"/>
  <c r="L21" i="5"/>
  <c r="F21" i="5"/>
  <c r="E21" i="5"/>
  <c r="F20" i="5"/>
  <c r="E20" i="5"/>
  <c r="F19" i="5"/>
  <c r="E19" i="5"/>
  <c r="F18" i="5"/>
  <c r="E18" i="5"/>
  <c r="F17" i="5"/>
  <c r="E17" i="5"/>
  <c r="F16" i="5"/>
  <c r="E16" i="5"/>
  <c r="F15" i="5"/>
  <c r="E15" i="5"/>
  <c r="K14" i="5"/>
  <c r="K13" i="5"/>
  <c r="K12" i="5"/>
  <c r="K11" i="5"/>
  <c r="K10" i="5"/>
  <c r="F26" i="4"/>
  <c r="E26" i="4"/>
  <c r="F25" i="4"/>
  <c r="E25" i="4"/>
  <c r="F24" i="4"/>
  <c r="E24" i="4"/>
  <c r="F23" i="4"/>
  <c r="E23" i="4"/>
  <c r="F22" i="4"/>
  <c r="E22" i="4"/>
  <c r="L21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K14" i="4"/>
  <c r="K13" i="4"/>
  <c r="K12" i="4"/>
  <c r="K11" i="4"/>
  <c r="K10" i="4"/>
  <c r="F26" i="3"/>
  <c r="E26" i="3"/>
  <c r="F25" i="3"/>
  <c r="E25" i="3"/>
  <c r="F24" i="3"/>
  <c r="E24" i="3"/>
  <c r="F23" i="3"/>
  <c r="E23" i="3"/>
  <c r="F22" i="3"/>
  <c r="E22" i="3"/>
  <c r="L21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K14" i="3"/>
  <c r="K13" i="3"/>
  <c r="K12" i="3"/>
  <c r="K11" i="3"/>
  <c r="K10" i="3"/>
  <c r="F26" i="2"/>
  <c r="E26" i="2"/>
  <c r="F25" i="2"/>
  <c r="E25" i="2"/>
  <c r="F24" i="2"/>
  <c r="E24" i="2"/>
  <c r="F23" i="2"/>
  <c r="E23" i="2"/>
  <c r="F22" i="2"/>
  <c r="E22" i="2"/>
  <c r="L21" i="2"/>
  <c r="F21" i="2"/>
  <c r="E21" i="2"/>
  <c r="F20" i="2"/>
  <c r="E20" i="2"/>
  <c r="F19" i="2"/>
  <c r="E19" i="2"/>
  <c r="F18" i="2"/>
  <c r="E18" i="2"/>
  <c r="F17" i="2"/>
  <c r="E17" i="2"/>
  <c r="F16" i="2"/>
  <c r="E16" i="2"/>
  <c r="K15" i="2"/>
  <c r="F15" i="2"/>
  <c r="E15" i="2"/>
  <c r="K14" i="2"/>
  <c r="K13" i="2"/>
  <c r="K12" i="2"/>
  <c r="K11" i="2"/>
  <c r="K10" i="2"/>
  <c r="L21" i="1" l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E19" i="1" l="1"/>
  <c r="E18" i="1"/>
  <c r="E17" i="1"/>
  <c r="E16" i="1"/>
  <c r="E15" i="1"/>
  <c r="F19" i="1"/>
  <c r="F18" i="1"/>
  <c r="F17" i="1"/>
  <c r="F16" i="1"/>
  <c r="F15" i="1"/>
  <c r="K10" i="1" l="1"/>
  <c r="K15" i="1"/>
  <c r="K11" i="1"/>
  <c r="K12" i="1"/>
  <c r="K13" i="1"/>
  <c r="K14" i="1"/>
</calcChain>
</file>

<file path=xl/sharedStrings.xml><?xml version="1.0" encoding="utf-8"?>
<sst xmlns="http://schemas.openxmlformats.org/spreadsheetml/2006/main" count="1351" uniqueCount="108">
  <si>
    <t>Job number</t>
  </si>
  <si>
    <t>Client</t>
  </si>
  <si>
    <t>Coordinate system</t>
  </si>
  <si>
    <t>Borehole number</t>
  </si>
  <si>
    <t>Height / level system</t>
  </si>
  <si>
    <t>Groundwater level</t>
  </si>
  <si>
    <t>Surveyor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</si>
  <si>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</si>
  <si>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</si>
  <si>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</si>
  <si>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</si>
  <si>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</si>
  <si>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</si>
  <si>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</si>
  <si>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</si>
  <si>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</si>
  <si>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</si>
  <si>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</si>
  <si>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</si>
  <si>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</si>
  <si>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</si>
  <si>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</si>
  <si>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</si>
  <si>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</si>
  <si>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</si>
  <si>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-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</si>
  <si>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</si>
  <si>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</si>
  <si>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</si>
  <si>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</si>
  <si>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</si>
  <si>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 xml:space="preserve">UTM 84-21S       </t>
  </si>
  <si>
    <t>Stage 2</t>
  </si>
  <si>
    <t>X-coord</t>
  </si>
  <si>
    <t>Y-coord</t>
  </si>
  <si>
    <t>Z-coord</t>
  </si>
  <si>
    <t>LEMAC</t>
  </si>
  <si>
    <t>s</t>
  </si>
  <si>
    <t>SL_14</t>
  </si>
  <si>
    <t>Hand Auger and Testing</t>
  </si>
  <si>
    <t>ML-76A</t>
  </si>
  <si>
    <t>Cl</t>
  </si>
  <si>
    <t>fsaCl</t>
  </si>
  <si>
    <t>clSa</t>
  </si>
  <si>
    <t>saCl</t>
  </si>
  <si>
    <t>siCl</t>
  </si>
  <si>
    <t>clSi</t>
  </si>
  <si>
    <t>Si</t>
  </si>
  <si>
    <t>fsasiCl</t>
  </si>
  <si>
    <t>siFSa</t>
  </si>
  <si>
    <t>fgrclSi</t>
  </si>
  <si>
    <t>km 51……..km 59</t>
  </si>
  <si>
    <t>Sa</t>
  </si>
  <si>
    <t>clCSa</t>
  </si>
  <si>
    <t>csaCl</t>
  </si>
  <si>
    <t>saSi</t>
  </si>
  <si>
    <t>clgrSa</t>
  </si>
  <si>
    <t>clFSa</t>
  </si>
  <si>
    <t>mcsaCl</t>
  </si>
  <si>
    <t>msasiCl</t>
  </si>
  <si>
    <t>clMCSa</t>
  </si>
  <si>
    <t>clFMSa</t>
  </si>
  <si>
    <t>fgrCSa</t>
  </si>
  <si>
    <t>CA_01</t>
  </si>
  <si>
    <t>sasiCl</t>
  </si>
  <si>
    <t>mgrsiFSa</t>
  </si>
  <si>
    <t>CA_03</t>
  </si>
  <si>
    <t>CA_02</t>
  </si>
  <si>
    <t>km 73……..km 80</t>
  </si>
  <si>
    <t>CA_04</t>
  </si>
  <si>
    <t>CA_05</t>
  </si>
  <si>
    <t>fsaSi</t>
  </si>
  <si>
    <t>fgrSi</t>
  </si>
  <si>
    <t>fgrsaSi</t>
  </si>
  <si>
    <t>CA_06</t>
  </si>
  <si>
    <t>SaCl</t>
  </si>
  <si>
    <t>mgrsaCl</t>
  </si>
  <si>
    <t>clMSa</t>
  </si>
  <si>
    <t>CA_07</t>
  </si>
  <si>
    <t>clgrCSa</t>
  </si>
  <si>
    <t>CA_08</t>
  </si>
  <si>
    <t>CA_09</t>
  </si>
  <si>
    <t>msaclSi</t>
  </si>
  <si>
    <t>CA_10</t>
  </si>
  <si>
    <t>CA_11</t>
  </si>
  <si>
    <t>CA_12</t>
  </si>
  <si>
    <t>fcsaCl</t>
  </si>
  <si>
    <t>clCFSa</t>
  </si>
  <si>
    <t>mgrclCSa</t>
  </si>
  <si>
    <t>grclFCSa</t>
  </si>
  <si>
    <t>CA_13</t>
  </si>
  <si>
    <t>CA_15</t>
  </si>
  <si>
    <t>CA_14</t>
  </si>
  <si>
    <t>fgrmsasiCl</t>
  </si>
  <si>
    <t>CA_16</t>
  </si>
  <si>
    <t>CA_17</t>
  </si>
  <si>
    <t>CA_18</t>
  </si>
  <si>
    <t>CA_19</t>
  </si>
  <si>
    <t>CA_20</t>
  </si>
  <si>
    <t>CA_21</t>
  </si>
  <si>
    <t>CA_22</t>
  </si>
  <si>
    <t>CA_23</t>
  </si>
  <si>
    <t>CA_24</t>
  </si>
  <si>
    <t>grCl</t>
  </si>
  <si>
    <t>fgrfsaCl</t>
  </si>
  <si>
    <t>fmsaCl</t>
  </si>
  <si>
    <t>orCl</t>
  </si>
  <si>
    <t>557974.03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</si>
</sst>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.00"/>
  </numFmts>
  <fonts count="11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3" fillId="0" borderId="0" xfId="0" applyFont="1"/>
    <xf numFmtId="0" fontId="3" fillId="0" borderId="2" xfId="0" applyFont="1" applyBorder="1"/>
    <xf numFmtId="0" fontId="5" fillId="0" borderId="0" xfId="0" applyFont="1" applyBorder="1"/>
    <xf numFmtId="0" fontId="4" fillId="0" borderId="8" xfId="0" applyFont="1" applyBorder="1"/>
    <xf numFmtId="0" fontId="4" fillId="0" borderId="0" xfId="0" applyFont="1" applyBorder="1"/>
    <xf numFmtId="0" fontId="5" fillId="0" borderId="8" xfId="0" applyFont="1" applyBorder="1"/>
    <xf numFmtId="0" fontId="3" fillId="0" borderId="7" xfId="0" applyFont="1" applyBorder="1"/>
    <xf numFmtId="0" fontId="3" fillId="0" borderId="0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4" fillId="0" borderId="2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164" fontId="3" fillId="0" borderId="5" xfId="0" applyNumberFormat="1" applyFont="1" applyBorder="1"/>
    <xf numFmtId="0" fontId="3" fillId="0" borderId="11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164" fontId="3" fillId="2" borderId="3" xfId="0" applyNumberFormat="1" applyFont="1" applyFill="1" applyBorder="1"/>
    <xf numFmtId="164" fontId="3" fillId="2" borderId="5" xfId="0" applyNumberFormat="1" applyFont="1" applyFill="1" applyBorder="1"/>
    <xf numFmtId="164" fontId="3" fillId="2" borderId="10" xfId="0" applyNumberFormat="1" applyFont="1" applyFill="1" applyBorder="1"/>
    <xf numFmtId="0" fontId="3" fillId="2" borderId="0" xfId="0" applyFont="1" applyFill="1"/>
    <xf numFmtId="0" fontId="7" fillId="0" borderId="0" xfId="0" applyFont="1" applyAlignment="1">
      <alignment horizontal="right"/>
    </xf>
    <xf numFmtId="0" fontId="3" fillId="0" borderId="0" xfId="0" quotePrefix="1" applyFont="1"/>
    <xf numFmtId="164" fontId="6" fillId="2" borderId="1" xfId="0" applyNumberFormat="1" applyFont="1" applyFill="1" applyBorder="1"/>
    <xf numFmtId="0" fontId="3" fillId="0" borderId="0" xfId="0" applyFont="1" applyBorder="1" applyAlignment="1">
      <alignment horizontal="right"/>
    </xf>
    <xf numFmtId="0" fontId="8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3" fillId="0" borderId="19" xfId="0" applyFont="1" applyBorder="1"/>
    <xf numFmtId="0" fontId="3" fillId="0" borderId="20" xfId="0" applyFont="1" applyBorder="1"/>
    <xf numFmtId="164" fontId="3" fillId="0" borderId="16" xfId="0" applyNumberFormat="1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10" fillId="0" borderId="9" xfId="0" applyFont="1" applyBorder="1" applyAlignment="1">
      <alignment horizontal="center"/>
    </xf>
    <xf numFmtId="0" fontId="10" fillId="0" borderId="9" xfId="0" quotePrefix="1" applyFont="1" applyBorder="1" applyAlignment="1">
      <alignment horizontal="center"/>
    </xf>
    <xf numFmtId="0" fontId="6" fillId="2" borderId="3" xfId="0" applyFont="1" applyFill="1" applyBorder="1" applyAlignment="1">
      <alignment horizontal="right"/>
    </xf>
    <xf numFmtId="0" fontId="6" fillId="0" borderId="8" xfId="0" applyFont="1" applyBorder="1"/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/>
    <xf numFmtId="3" fontId="10" fillId="0" borderId="9" xfId="0" applyNumberFormat="1" applyFont="1" applyBorder="1" applyAlignment="1">
      <alignment horizontal="center"/>
    </xf>
    <xf numFmtId="164" fontId="10" fillId="0" borderId="9" xfId="0" quotePrefix="1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0" fillId="0" borderId="9" xfId="0" quotePrefix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0" fillId="0" borderId="9" xfId="0" quotePrefix="1" applyFont="1" applyBorder="1" applyAlignment="1">
      <alignment horizontal="center"/>
    </xf>
    <xf numFmtId="0" fontId="1" fillId="0" borderId="0" xfId="0" applyFont="1"/>
    <xf numFmtId="0" fontId="1" fillId="0" borderId="0" xfId="0" quotePrefix="1" applyFont="1"/>
    <xf numFmtId="0" fontId="1" fillId="2" borderId="0" xfId="0" applyFont="1" applyFill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2" xfId="0" applyFont="1" applyBorder="1"/>
    <xf numFmtId="0" fontId="1" fillId="0" borderId="0" xfId="0" applyFont="1" applyBorder="1"/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right"/>
    </xf>
    <xf numFmtId="0" fontId="1" fillId="0" borderId="2" xfId="0" applyFont="1" applyBorder="1"/>
    <xf numFmtId="0" fontId="1" fillId="0" borderId="7" xfId="0" applyFont="1" applyBorder="1"/>
    <xf numFmtId="164" fontId="1" fillId="2" borderId="3" xfId="0" applyNumberFormat="1" applyFont="1" applyFill="1" applyBorder="1"/>
    <xf numFmtId="0" fontId="1" fillId="0" borderId="8" xfId="0" applyFont="1" applyBorder="1"/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1" xfId="0" applyFont="1" applyBorder="1"/>
    <xf numFmtId="0" fontId="1" fillId="0" borderId="4" xfId="0" applyFont="1" applyBorder="1"/>
    <xf numFmtId="0" fontId="1" fillId="0" borderId="5" xfId="0" applyFont="1" applyBorder="1"/>
    <xf numFmtId="164" fontId="1" fillId="2" borderId="5" xfId="0" applyNumberFormat="1" applyFont="1" applyFill="1" applyBorder="1"/>
    <xf numFmtId="0" fontId="1" fillId="0" borderId="19" xfId="0" applyFont="1" applyBorder="1"/>
    <xf numFmtId="0" fontId="1" fillId="0" borderId="9" xfId="0" applyFont="1" applyBorder="1"/>
    <xf numFmtId="0" fontId="1" fillId="0" borderId="10" xfId="0" applyFont="1" applyBorder="1"/>
    <xf numFmtId="164" fontId="1" fillId="2" borderId="10" xfId="0" applyNumberFormat="1" applyFont="1" applyFill="1" applyBorder="1"/>
    <xf numFmtId="0" fontId="1" fillId="0" borderId="20" xfId="0" applyFont="1" applyBorder="1"/>
    <xf numFmtId="164" fontId="1" fillId="0" borderId="5" xfId="0" applyNumberFormat="1" applyFont="1" applyBorder="1"/>
    <xf numFmtId="164" fontId="1" fillId="0" borderId="16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3" fillId="0" borderId="18" xfId="0" applyFont="1" applyBorder="1"/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0" fillId="0" borderId="9" xfId="0" quotePrefix="1" applyFont="1" applyBorder="1" applyAlignment="1">
      <alignment horizontal="center"/>
    </xf>
    <xf numFmtId="0" fontId="10" fillId="0" borderId="11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CA_01!$J$10:$J$20</c:f>
              <c:numCache>
                <c:formatCode>General</c:formatCode>
                <c:ptCount val="11"/>
                <c:pt idx="0">
                  <c:v>7</c:v>
                </c:pt>
                <c:pt idx="1">
                  <c:v>14</c:v>
                </c:pt>
                <c:pt idx="2">
                  <c:v>24</c:v>
                </c:pt>
                <c:pt idx="3">
                  <c:v>17</c:v>
                </c:pt>
                <c:pt idx="4">
                  <c:v>24</c:v>
                </c:pt>
                <c:pt idx="5">
                  <c:v>32</c:v>
                </c:pt>
                <c:pt idx="6">
                  <c:v>33</c:v>
                </c:pt>
                <c:pt idx="7">
                  <c:v>41</c:v>
                </c:pt>
                <c:pt idx="8">
                  <c:v>51</c:v>
                </c:pt>
              </c:numCache>
            </c:numRef>
          </c:xVal>
          <c:yVal>
            <c:numRef>
              <c:f>CA_01!$K$10:$K$20</c:f>
              <c:numCache>
                <c:formatCode>\+0.00</c:formatCode>
                <c:ptCount val="11"/>
                <c:pt idx="0">
                  <c:v>53.436999999999998</c:v>
                </c:pt>
                <c:pt idx="1">
                  <c:v>52.436999999999998</c:v>
                </c:pt>
                <c:pt idx="2">
                  <c:v>51.436999999999998</c:v>
                </c:pt>
                <c:pt idx="3">
                  <c:v>50.436999999999998</c:v>
                </c:pt>
                <c:pt idx="4">
                  <c:v>49.436999999999998</c:v>
                </c:pt>
                <c:pt idx="5">
                  <c:v>48.436999999999998</c:v>
                </c:pt>
                <c:pt idx="6">
                  <c:v>47.436999999999998</c:v>
                </c:pt>
                <c:pt idx="7">
                  <c:v>46.436999999999998</c:v>
                </c:pt>
                <c:pt idx="8">
                  <c:v>45.436999999999998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CA_01!$J$10:$J$22</c:f>
              <c:numCache>
                <c:formatCode>General</c:formatCode>
                <c:ptCount val="13"/>
                <c:pt idx="0">
                  <c:v>7</c:v>
                </c:pt>
                <c:pt idx="1">
                  <c:v>14</c:v>
                </c:pt>
                <c:pt idx="2">
                  <c:v>24</c:v>
                </c:pt>
                <c:pt idx="3">
                  <c:v>17</c:v>
                </c:pt>
                <c:pt idx="4">
                  <c:v>24</c:v>
                </c:pt>
                <c:pt idx="5">
                  <c:v>32</c:v>
                </c:pt>
                <c:pt idx="6">
                  <c:v>33</c:v>
                </c:pt>
                <c:pt idx="7">
                  <c:v>41</c:v>
                </c:pt>
                <c:pt idx="8">
                  <c:v>51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CA_01!$L$10:$L$22</c:f>
              <c:numCache>
                <c:formatCode>General</c:formatCode>
                <c:ptCount val="13"/>
                <c:pt idx="11" formatCode="\+0.00">
                  <c:v>54.436999999999998</c:v>
                </c:pt>
                <c:pt idx="12" formatCode="\+0.00">
                  <c:v>45.436999999999998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86684000"/>
        <c:axId val="-686687808"/>
      </c:scatterChart>
      <c:valAx>
        <c:axId val="-686684000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686687808"/>
        <c:crosses val="autoZero"/>
        <c:crossBetween val="midCat"/>
      </c:valAx>
      <c:valAx>
        <c:axId val="-686687808"/>
        <c:scaling>
          <c:orientation val="minMax"/>
          <c:min val="4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68668400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CA_10!$J$10:$J$22</c:f>
              <c:numCache>
                <c:formatCode>General</c:formatCode>
                <c:ptCount val="13"/>
                <c:pt idx="0">
                  <c:v>9</c:v>
                </c:pt>
                <c:pt idx="1">
                  <c:v>8</c:v>
                </c:pt>
                <c:pt idx="2">
                  <c:v>11</c:v>
                </c:pt>
                <c:pt idx="3">
                  <c:v>26</c:v>
                </c:pt>
                <c:pt idx="4">
                  <c:v>42</c:v>
                </c:pt>
                <c:pt idx="5">
                  <c:v>53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CA_10!$K$10:$K$22</c:f>
              <c:numCache>
                <c:formatCode>\+0.00</c:formatCode>
                <c:ptCount val="13"/>
                <c:pt idx="0">
                  <c:v>55.972000000000001</c:v>
                </c:pt>
                <c:pt idx="1">
                  <c:v>54.972000000000001</c:v>
                </c:pt>
                <c:pt idx="2">
                  <c:v>53.972000000000001</c:v>
                </c:pt>
                <c:pt idx="3">
                  <c:v>52.972000000000001</c:v>
                </c:pt>
                <c:pt idx="4">
                  <c:v>51.972000000000001</c:v>
                </c:pt>
                <c:pt idx="5">
                  <c:v>49.972000000000001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96-4A8F-BFC3-A459579E3095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CA_10!$J$10:$J$22</c:f>
              <c:numCache>
                <c:formatCode>General</c:formatCode>
                <c:ptCount val="13"/>
                <c:pt idx="0">
                  <c:v>9</c:v>
                </c:pt>
                <c:pt idx="1">
                  <c:v>8</c:v>
                </c:pt>
                <c:pt idx="2">
                  <c:v>11</c:v>
                </c:pt>
                <c:pt idx="3">
                  <c:v>26</c:v>
                </c:pt>
                <c:pt idx="4">
                  <c:v>42</c:v>
                </c:pt>
                <c:pt idx="5">
                  <c:v>53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CA_10!$L$10:$L$22</c:f>
              <c:numCache>
                <c:formatCode>General</c:formatCode>
                <c:ptCount val="13"/>
                <c:pt idx="11" formatCode="\+0.00">
                  <c:v>56.972000000000001</c:v>
                </c:pt>
                <c:pt idx="12" formatCode="\+0.00">
                  <c:v>49.972000000000001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D96-4A8F-BFC3-A459579E3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1992432"/>
        <c:axId val="-431991344"/>
      </c:scatterChart>
      <c:valAx>
        <c:axId val="-43199243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1991344"/>
        <c:crosses val="autoZero"/>
        <c:crossBetween val="midCat"/>
      </c:valAx>
      <c:valAx>
        <c:axId val="-431991344"/>
        <c:scaling>
          <c:orientation val="minMax"/>
          <c:min val="6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199243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CA_11!$J$10:$J$20</c:f>
              <c:numCache>
                <c:formatCode>General</c:formatCode>
                <c:ptCount val="11"/>
                <c:pt idx="0">
                  <c:v>13</c:v>
                </c:pt>
                <c:pt idx="1">
                  <c:v>9</c:v>
                </c:pt>
                <c:pt idx="2">
                  <c:v>16</c:v>
                </c:pt>
                <c:pt idx="3">
                  <c:v>19</c:v>
                </c:pt>
                <c:pt idx="4">
                  <c:v>27</c:v>
                </c:pt>
                <c:pt idx="5">
                  <c:v>44</c:v>
                </c:pt>
                <c:pt idx="6">
                  <c:v>65</c:v>
                </c:pt>
              </c:numCache>
            </c:numRef>
          </c:xVal>
          <c:yVal>
            <c:numRef>
              <c:f>CA_11!$K$10:$K$20</c:f>
              <c:numCache>
                <c:formatCode>\+0.00</c:formatCode>
                <c:ptCount val="11"/>
                <c:pt idx="0">
                  <c:v>58.469000000000001</c:v>
                </c:pt>
                <c:pt idx="1">
                  <c:v>57.469000000000001</c:v>
                </c:pt>
                <c:pt idx="2">
                  <c:v>56.469000000000001</c:v>
                </c:pt>
                <c:pt idx="3">
                  <c:v>55.469000000000001</c:v>
                </c:pt>
                <c:pt idx="4">
                  <c:v>54.469000000000001</c:v>
                </c:pt>
                <c:pt idx="5">
                  <c:v>53.469000000000001</c:v>
                </c:pt>
                <c:pt idx="6">
                  <c:v>52.469000000000001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E9-4692-BD90-D74BD32A8F79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CA_11!$J$10:$J$22</c:f>
              <c:numCache>
                <c:formatCode>General</c:formatCode>
                <c:ptCount val="13"/>
                <c:pt idx="0">
                  <c:v>13</c:v>
                </c:pt>
                <c:pt idx="1">
                  <c:v>9</c:v>
                </c:pt>
                <c:pt idx="2">
                  <c:v>16</c:v>
                </c:pt>
                <c:pt idx="3">
                  <c:v>19</c:v>
                </c:pt>
                <c:pt idx="4">
                  <c:v>27</c:v>
                </c:pt>
                <c:pt idx="5">
                  <c:v>44</c:v>
                </c:pt>
                <c:pt idx="6">
                  <c:v>65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CA_11!$L$10:$L$22</c:f>
              <c:numCache>
                <c:formatCode>General</c:formatCode>
                <c:ptCount val="13"/>
                <c:pt idx="11" formatCode="\+0.00">
                  <c:v>59.469000000000001</c:v>
                </c:pt>
                <c:pt idx="12" formatCode="\+0.00">
                  <c:v>52.469000000000001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5E9-4692-BD90-D74BD32A8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2013104"/>
        <c:axId val="-432012016"/>
      </c:scatterChart>
      <c:valAx>
        <c:axId val="-432013104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2012016"/>
        <c:crosses val="autoZero"/>
        <c:crossBetween val="midCat"/>
      </c:valAx>
      <c:valAx>
        <c:axId val="-432012016"/>
        <c:scaling>
          <c:orientation val="minMax"/>
          <c:max val="61"/>
          <c:min val="5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201310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CA_12!$J$10:$J$20</c:f>
              <c:numCache>
                <c:formatCode>General</c:formatCode>
                <c:ptCount val="11"/>
                <c:pt idx="0">
                  <c:v>7</c:v>
                </c:pt>
                <c:pt idx="1">
                  <c:v>14</c:v>
                </c:pt>
                <c:pt idx="2">
                  <c:v>15</c:v>
                </c:pt>
                <c:pt idx="3">
                  <c:v>24</c:v>
                </c:pt>
                <c:pt idx="4">
                  <c:v>29</c:v>
                </c:pt>
                <c:pt idx="5">
                  <c:v>46</c:v>
                </c:pt>
                <c:pt idx="6">
                  <c:v>64</c:v>
                </c:pt>
              </c:numCache>
            </c:numRef>
          </c:xVal>
          <c:yVal>
            <c:numRef>
              <c:f>CA_12!$K$10:$K$20</c:f>
              <c:numCache>
                <c:formatCode>\+0.00</c:formatCode>
                <c:ptCount val="11"/>
                <c:pt idx="0">
                  <c:v>56.850999999999999</c:v>
                </c:pt>
                <c:pt idx="1">
                  <c:v>55.850999999999999</c:v>
                </c:pt>
                <c:pt idx="2">
                  <c:v>54.850999999999999</c:v>
                </c:pt>
                <c:pt idx="3">
                  <c:v>53.850999999999999</c:v>
                </c:pt>
                <c:pt idx="4">
                  <c:v>52.850999999999999</c:v>
                </c:pt>
                <c:pt idx="5">
                  <c:v>51.850999999999999</c:v>
                </c:pt>
                <c:pt idx="6">
                  <c:v>50.850999999999999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E1-407E-AF39-27BCAB9F992C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CA_12!$J$10:$J$22</c:f>
              <c:numCache>
                <c:formatCode>General</c:formatCode>
                <c:ptCount val="13"/>
                <c:pt idx="0">
                  <c:v>7</c:v>
                </c:pt>
                <c:pt idx="1">
                  <c:v>14</c:v>
                </c:pt>
                <c:pt idx="2">
                  <c:v>15</c:v>
                </c:pt>
                <c:pt idx="3">
                  <c:v>24</c:v>
                </c:pt>
                <c:pt idx="4">
                  <c:v>29</c:v>
                </c:pt>
                <c:pt idx="5">
                  <c:v>46</c:v>
                </c:pt>
                <c:pt idx="6">
                  <c:v>64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CA_12!$L$10:$L$22</c:f>
              <c:numCache>
                <c:formatCode>General</c:formatCode>
                <c:ptCount val="13"/>
                <c:pt idx="11" formatCode="\+0.00">
                  <c:v>57.850999999999999</c:v>
                </c:pt>
                <c:pt idx="12" formatCode="\+0.00">
                  <c:v>50.850999999999999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9E1-407E-AF39-27BCAB9F9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2000592"/>
        <c:axId val="-432009840"/>
      </c:scatterChart>
      <c:valAx>
        <c:axId val="-43200059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2009840"/>
        <c:crosses val="autoZero"/>
        <c:crossBetween val="midCat"/>
      </c:valAx>
      <c:valAx>
        <c:axId val="-432009840"/>
        <c:scaling>
          <c:orientation val="minMax"/>
          <c:min val="4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200059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CA_13!$J$10:$J$20</c:f>
              <c:numCache>
                <c:formatCode>General</c:formatCode>
                <c:ptCount val="11"/>
                <c:pt idx="0">
                  <c:v>10</c:v>
                </c:pt>
                <c:pt idx="1">
                  <c:v>15</c:v>
                </c:pt>
                <c:pt idx="2">
                  <c:v>13</c:v>
                </c:pt>
                <c:pt idx="3">
                  <c:v>16</c:v>
                </c:pt>
                <c:pt idx="4">
                  <c:v>22</c:v>
                </c:pt>
                <c:pt idx="5">
                  <c:v>31</c:v>
                </c:pt>
                <c:pt idx="6">
                  <c:v>45</c:v>
                </c:pt>
                <c:pt idx="7">
                  <c:v>50</c:v>
                </c:pt>
              </c:numCache>
            </c:numRef>
          </c:xVal>
          <c:yVal>
            <c:numRef>
              <c:f>CA_13!$K$10:$K$20</c:f>
              <c:numCache>
                <c:formatCode>\+0.00</c:formatCode>
                <c:ptCount val="11"/>
                <c:pt idx="0">
                  <c:v>60.103000000000002</c:v>
                </c:pt>
                <c:pt idx="1">
                  <c:v>59.103000000000002</c:v>
                </c:pt>
                <c:pt idx="2">
                  <c:v>58.103000000000002</c:v>
                </c:pt>
                <c:pt idx="3">
                  <c:v>57.103000000000002</c:v>
                </c:pt>
                <c:pt idx="4">
                  <c:v>56.103000000000002</c:v>
                </c:pt>
                <c:pt idx="5">
                  <c:v>55.103000000000002</c:v>
                </c:pt>
                <c:pt idx="6">
                  <c:v>54.103000000000002</c:v>
                </c:pt>
                <c:pt idx="7">
                  <c:v>53.103000000000002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63-486A-8F5E-11B8CC5E4989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CA_13!$J$10:$J$22</c:f>
              <c:numCache>
                <c:formatCode>General</c:formatCode>
                <c:ptCount val="13"/>
                <c:pt idx="0">
                  <c:v>10</c:v>
                </c:pt>
                <c:pt idx="1">
                  <c:v>15</c:v>
                </c:pt>
                <c:pt idx="2">
                  <c:v>13</c:v>
                </c:pt>
                <c:pt idx="3">
                  <c:v>16</c:v>
                </c:pt>
                <c:pt idx="4">
                  <c:v>22</c:v>
                </c:pt>
                <c:pt idx="5">
                  <c:v>31</c:v>
                </c:pt>
                <c:pt idx="6">
                  <c:v>45</c:v>
                </c:pt>
                <c:pt idx="7">
                  <c:v>50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CA_13!$L$10:$L$22</c:f>
              <c:numCache>
                <c:formatCode>General</c:formatCode>
                <c:ptCount val="13"/>
                <c:pt idx="11" formatCode="\+0.00">
                  <c:v>61.103000000000002</c:v>
                </c:pt>
                <c:pt idx="12" formatCode="\+0.00">
                  <c:v>53.103000000000002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63-486A-8F5E-11B8CC5E4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1986448"/>
        <c:axId val="-431998960"/>
      </c:scatterChart>
      <c:valAx>
        <c:axId val="-43198644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1998960"/>
        <c:crosses val="autoZero"/>
        <c:crossBetween val="midCat"/>
      </c:valAx>
      <c:valAx>
        <c:axId val="-431998960"/>
        <c:scaling>
          <c:orientation val="minMax"/>
          <c:min val="5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198644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SL_14!$J$10:$J$20</c:f>
              <c:numCache>
                <c:formatCode>General</c:formatCode>
                <c:ptCount val="11"/>
                <c:pt idx="0">
                  <c:v>31</c:v>
                </c:pt>
                <c:pt idx="1">
                  <c:v>28</c:v>
                </c:pt>
                <c:pt idx="2">
                  <c:v>31</c:v>
                </c:pt>
                <c:pt idx="3">
                  <c:v>31</c:v>
                </c:pt>
                <c:pt idx="4">
                  <c:v>33</c:v>
                </c:pt>
                <c:pt idx="5">
                  <c:v>49</c:v>
                </c:pt>
                <c:pt idx="6">
                  <c:v>32</c:v>
                </c:pt>
                <c:pt idx="7">
                  <c:v>24</c:v>
                </c:pt>
                <c:pt idx="8">
                  <c:v>69</c:v>
                </c:pt>
                <c:pt idx="9">
                  <c:v>71</c:v>
                </c:pt>
                <c:pt idx="10">
                  <c:v>77</c:v>
                </c:pt>
              </c:numCache>
            </c:numRef>
          </c:xVal>
          <c:yVal>
            <c:numRef>
              <c:f>SL_14!$K$10:$K$20</c:f>
              <c:numCache>
                <c:formatCode>\+0.00</c:formatCode>
                <c:ptCount val="11"/>
                <c:pt idx="0">
                  <c:v>45.401000000000003</c:v>
                </c:pt>
                <c:pt idx="1">
                  <c:v>44.401000000000003</c:v>
                </c:pt>
                <c:pt idx="2">
                  <c:v>43.401000000000003</c:v>
                </c:pt>
                <c:pt idx="3">
                  <c:v>42.401000000000003</c:v>
                </c:pt>
                <c:pt idx="4">
                  <c:v>41.401000000000003</c:v>
                </c:pt>
                <c:pt idx="5">
                  <c:v>40.401000000000003</c:v>
                </c:pt>
                <c:pt idx="6">
                  <c:v>39.401000000000003</c:v>
                </c:pt>
                <c:pt idx="7">
                  <c:v>38.401000000000003</c:v>
                </c:pt>
                <c:pt idx="8">
                  <c:v>37.401000000000003</c:v>
                </c:pt>
                <c:pt idx="9">
                  <c:v>36.401000000000003</c:v>
                </c:pt>
                <c:pt idx="10">
                  <c:v>35.401000000000003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C5-4C99-B77E-8DF3F7122AE6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SL_14!$J$10:$J$22</c:f>
              <c:numCache>
                <c:formatCode>General</c:formatCode>
                <c:ptCount val="13"/>
                <c:pt idx="0">
                  <c:v>31</c:v>
                </c:pt>
                <c:pt idx="1">
                  <c:v>28</c:v>
                </c:pt>
                <c:pt idx="2">
                  <c:v>31</c:v>
                </c:pt>
                <c:pt idx="3">
                  <c:v>31</c:v>
                </c:pt>
                <c:pt idx="4">
                  <c:v>33</c:v>
                </c:pt>
                <c:pt idx="5">
                  <c:v>49</c:v>
                </c:pt>
                <c:pt idx="6">
                  <c:v>32</c:v>
                </c:pt>
                <c:pt idx="7">
                  <c:v>24</c:v>
                </c:pt>
                <c:pt idx="8">
                  <c:v>69</c:v>
                </c:pt>
                <c:pt idx="9">
                  <c:v>71</c:v>
                </c:pt>
                <c:pt idx="10">
                  <c:v>77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SL_14!$L$10:$L$22</c:f>
              <c:numCache>
                <c:formatCode>General</c:formatCode>
                <c:ptCount val="13"/>
                <c:pt idx="11" formatCode="\+0.00">
                  <c:v>46.401000000000003</c:v>
                </c:pt>
                <c:pt idx="12" formatCode="\+0.00">
                  <c:v>35.401000000000003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C5-4C99-B77E-8DF3F7122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1984816"/>
        <c:axId val="-431984272"/>
      </c:scatterChart>
      <c:valAx>
        <c:axId val="-431984816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1984272"/>
        <c:crosses val="autoZero"/>
        <c:crossBetween val="midCat"/>
      </c:valAx>
      <c:valAx>
        <c:axId val="-431984272"/>
        <c:scaling>
          <c:orientation val="minMax"/>
          <c:min val="3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198481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CA_14!$J$10:$J$20</c:f>
              <c:numCache>
                <c:formatCode>General</c:formatCode>
                <c:ptCount val="11"/>
                <c:pt idx="0">
                  <c:v>9</c:v>
                </c:pt>
                <c:pt idx="1">
                  <c:v>16</c:v>
                </c:pt>
                <c:pt idx="2">
                  <c:v>21</c:v>
                </c:pt>
                <c:pt idx="3">
                  <c:v>19</c:v>
                </c:pt>
                <c:pt idx="4">
                  <c:v>31</c:v>
                </c:pt>
                <c:pt idx="5">
                  <c:v>41</c:v>
                </c:pt>
                <c:pt idx="6">
                  <c:v>37</c:v>
                </c:pt>
                <c:pt idx="7">
                  <c:v>43</c:v>
                </c:pt>
                <c:pt idx="8">
                  <c:v>56</c:v>
                </c:pt>
              </c:numCache>
            </c:numRef>
          </c:xVal>
          <c:yVal>
            <c:numRef>
              <c:f>CA_14!$K$10:$K$20</c:f>
              <c:numCache>
                <c:formatCode>\+0.00</c:formatCode>
                <c:ptCount val="11"/>
                <c:pt idx="0">
                  <c:v>64.715000000000003</c:v>
                </c:pt>
                <c:pt idx="1">
                  <c:v>63.715000000000003</c:v>
                </c:pt>
                <c:pt idx="2">
                  <c:v>62.715000000000003</c:v>
                </c:pt>
                <c:pt idx="3">
                  <c:v>61.715000000000003</c:v>
                </c:pt>
                <c:pt idx="4">
                  <c:v>60.715000000000003</c:v>
                </c:pt>
                <c:pt idx="5">
                  <c:v>59.715000000000003</c:v>
                </c:pt>
                <c:pt idx="6">
                  <c:v>58.715000000000003</c:v>
                </c:pt>
                <c:pt idx="7">
                  <c:v>57.715000000000003</c:v>
                </c:pt>
                <c:pt idx="8">
                  <c:v>56.715000000000003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1B4-41BA-ADDE-9066B7BCC0A1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CA_14!$J$10:$J$22</c:f>
              <c:numCache>
                <c:formatCode>General</c:formatCode>
                <c:ptCount val="13"/>
                <c:pt idx="0">
                  <c:v>9</c:v>
                </c:pt>
                <c:pt idx="1">
                  <c:v>16</c:v>
                </c:pt>
                <c:pt idx="2">
                  <c:v>21</c:v>
                </c:pt>
                <c:pt idx="3">
                  <c:v>19</c:v>
                </c:pt>
                <c:pt idx="4">
                  <c:v>31</c:v>
                </c:pt>
                <c:pt idx="5">
                  <c:v>41</c:v>
                </c:pt>
                <c:pt idx="6">
                  <c:v>37</c:v>
                </c:pt>
                <c:pt idx="7">
                  <c:v>43</c:v>
                </c:pt>
                <c:pt idx="8">
                  <c:v>56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CA_14!$L$10:$L$22</c:f>
              <c:numCache>
                <c:formatCode>General</c:formatCode>
                <c:ptCount val="13"/>
                <c:pt idx="11" formatCode="\+0.00">
                  <c:v>65.715000000000003</c:v>
                </c:pt>
                <c:pt idx="12" formatCode="\+0.00">
                  <c:v>56.715000000000003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1B4-41BA-ADDE-9066B7BCC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1984816"/>
        <c:axId val="-431984272"/>
      </c:scatterChart>
      <c:valAx>
        <c:axId val="-431984816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1984272"/>
        <c:crosses val="autoZero"/>
        <c:crossBetween val="midCat"/>
      </c:valAx>
      <c:valAx>
        <c:axId val="-431984272"/>
        <c:scaling>
          <c:orientation val="minMax"/>
          <c:min val="5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198481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CA_15!$J$10:$J$20</c:f>
              <c:numCache>
                <c:formatCode>General</c:formatCode>
                <c:ptCount val="11"/>
                <c:pt idx="0">
                  <c:v>12</c:v>
                </c:pt>
                <c:pt idx="1">
                  <c:v>14</c:v>
                </c:pt>
                <c:pt idx="2">
                  <c:v>11</c:v>
                </c:pt>
                <c:pt idx="3">
                  <c:v>21</c:v>
                </c:pt>
                <c:pt idx="4">
                  <c:v>17</c:v>
                </c:pt>
                <c:pt idx="5">
                  <c:v>24</c:v>
                </c:pt>
                <c:pt idx="6">
                  <c:v>42</c:v>
                </c:pt>
                <c:pt idx="7">
                  <c:v>55</c:v>
                </c:pt>
              </c:numCache>
            </c:numRef>
          </c:xVal>
          <c:yVal>
            <c:numRef>
              <c:f>CA_15!$K$10:$K$20</c:f>
              <c:numCache>
                <c:formatCode>\+0.00</c:formatCode>
                <c:ptCount val="11"/>
                <c:pt idx="0">
                  <c:v>66.965999999999994</c:v>
                </c:pt>
                <c:pt idx="1">
                  <c:v>65.965999999999994</c:v>
                </c:pt>
                <c:pt idx="2">
                  <c:v>64.965999999999994</c:v>
                </c:pt>
                <c:pt idx="3">
                  <c:v>63.965999999999994</c:v>
                </c:pt>
                <c:pt idx="4">
                  <c:v>62.965999999999994</c:v>
                </c:pt>
                <c:pt idx="5">
                  <c:v>61.965999999999994</c:v>
                </c:pt>
                <c:pt idx="6">
                  <c:v>61.465999999999994</c:v>
                </c:pt>
                <c:pt idx="7">
                  <c:v>60.965999999999994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22A-40C8-9726-DD005318A1BC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CA_15!$J$10:$J$22</c:f>
              <c:numCache>
                <c:formatCode>General</c:formatCode>
                <c:ptCount val="13"/>
                <c:pt idx="0">
                  <c:v>12</c:v>
                </c:pt>
                <c:pt idx="1">
                  <c:v>14</c:v>
                </c:pt>
                <c:pt idx="2">
                  <c:v>11</c:v>
                </c:pt>
                <c:pt idx="3">
                  <c:v>21</c:v>
                </c:pt>
                <c:pt idx="4">
                  <c:v>17</c:v>
                </c:pt>
                <c:pt idx="5">
                  <c:v>24</c:v>
                </c:pt>
                <c:pt idx="6">
                  <c:v>42</c:v>
                </c:pt>
                <c:pt idx="7">
                  <c:v>55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CA_15!$L$10:$L$22</c:f>
              <c:numCache>
                <c:formatCode>General</c:formatCode>
                <c:ptCount val="13"/>
                <c:pt idx="11" formatCode="\+0.00">
                  <c:v>67.965999999999994</c:v>
                </c:pt>
                <c:pt idx="12" formatCode="\+0.00">
                  <c:v>60.965999999999994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22A-40C8-9726-DD005318A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306320"/>
        <c:axId val="-501307952"/>
      </c:scatterChart>
      <c:valAx>
        <c:axId val="-501306320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501307952"/>
        <c:crosses val="autoZero"/>
        <c:crossBetween val="midCat"/>
      </c:valAx>
      <c:valAx>
        <c:axId val="-501307952"/>
        <c:scaling>
          <c:orientation val="minMax"/>
          <c:min val="5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50130632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CA_16!$J$10:$J$22</c:f>
              <c:numCache>
                <c:formatCode>General</c:formatCode>
                <c:ptCount val="13"/>
                <c:pt idx="0">
                  <c:v>6</c:v>
                </c:pt>
                <c:pt idx="1">
                  <c:v>9</c:v>
                </c:pt>
                <c:pt idx="2">
                  <c:v>11</c:v>
                </c:pt>
                <c:pt idx="3">
                  <c:v>21</c:v>
                </c:pt>
                <c:pt idx="4">
                  <c:v>26</c:v>
                </c:pt>
                <c:pt idx="5">
                  <c:v>36</c:v>
                </c:pt>
                <c:pt idx="6">
                  <c:v>39</c:v>
                </c:pt>
                <c:pt idx="7">
                  <c:v>45</c:v>
                </c:pt>
                <c:pt idx="8">
                  <c:v>52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CA_16!$K$10:$K$22</c:f>
              <c:numCache>
                <c:formatCode>\+0.00</c:formatCode>
                <c:ptCount val="13"/>
                <c:pt idx="0">
                  <c:v>61.231000000000002</c:v>
                </c:pt>
                <c:pt idx="1">
                  <c:v>60.231000000000002</c:v>
                </c:pt>
                <c:pt idx="2">
                  <c:v>59.231000000000002</c:v>
                </c:pt>
                <c:pt idx="3">
                  <c:v>58.231000000000002</c:v>
                </c:pt>
                <c:pt idx="4">
                  <c:v>57.231000000000002</c:v>
                </c:pt>
                <c:pt idx="5">
                  <c:v>56.231000000000002</c:v>
                </c:pt>
                <c:pt idx="6">
                  <c:v>55.231000000000002</c:v>
                </c:pt>
                <c:pt idx="7">
                  <c:v>54.231000000000002</c:v>
                </c:pt>
                <c:pt idx="8">
                  <c:v>53.231000000000002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CA-4CCE-AACD-2417ECC7E846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CA_16!$J$10:$J$22</c:f>
              <c:numCache>
                <c:formatCode>General</c:formatCode>
                <c:ptCount val="13"/>
                <c:pt idx="0">
                  <c:v>6</c:v>
                </c:pt>
                <c:pt idx="1">
                  <c:v>9</c:v>
                </c:pt>
                <c:pt idx="2">
                  <c:v>11</c:v>
                </c:pt>
                <c:pt idx="3">
                  <c:v>21</c:v>
                </c:pt>
                <c:pt idx="4">
                  <c:v>26</c:v>
                </c:pt>
                <c:pt idx="5">
                  <c:v>36</c:v>
                </c:pt>
                <c:pt idx="6">
                  <c:v>39</c:v>
                </c:pt>
                <c:pt idx="7">
                  <c:v>45</c:v>
                </c:pt>
                <c:pt idx="8">
                  <c:v>52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CA_16!$L$10:$L$22</c:f>
              <c:numCache>
                <c:formatCode>General</c:formatCode>
                <c:ptCount val="13"/>
                <c:pt idx="11" formatCode="\+0.00">
                  <c:v>62.231000000000002</c:v>
                </c:pt>
                <c:pt idx="12" formatCode="\+0.00">
                  <c:v>53.231000000000002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ACA-4CCE-AACD-2417ECC7E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297072"/>
        <c:axId val="-501305776"/>
      </c:scatterChart>
      <c:valAx>
        <c:axId val="-50129707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501305776"/>
        <c:crosses val="autoZero"/>
        <c:crossBetween val="midCat"/>
      </c:valAx>
      <c:valAx>
        <c:axId val="-501305776"/>
        <c:scaling>
          <c:orientation val="minMax"/>
          <c:min val="5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50129707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CA_17!$J$10:$J$20</c:f>
              <c:numCache>
                <c:formatCode>General</c:formatCode>
                <c:ptCount val="11"/>
                <c:pt idx="0">
                  <c:v>11</c:v>
                </c:pt>
                <c:pt idx="1">
                  <c:v>12</c:v>
                </c:pt>
                <c:pt idx="2">
                  <c:v>20</c:v>
                </c:pt>
                <c:pt idx="3">
                  <c:v>17</c:v>
                </c:pt>
                <c:pt idx="4">
                  <c:v>14</c:v>
                </c:pt>
                <c:pt idx="5">
                  <c:v>16</c:v>
                </c:pt>
                <c:pt idx="6">
                  <c:v>32</c:v>
                </c:pt>
                <c:pt idx="7">
                  <c:v>52</c:v>
                </c:pt>
              </c:numCache>
            </c:numRef>
          </c:xVal>
          <c:yVal>
            <c:numRef>
              <c:f>CA_17!$K$10:$K$20</c:f>
              <c:numCache>
                <c:formatCode>\+0.00</c:formatCode>
                <c:ptCount val="11"/>
                <c:pt idx="0">
                  <c:v>62.204999999999998</c:v>
                </c:pt>
                <c:pt idx="1">
                  <c:v>61.204999999999998</c:v>
                </c:pt>
                <c:pt idx="2">
                  <c:v>60.204999999999998</c:v>
                </c:pt>
                <c:pt idx="3">
                  <c:v>59.204999999999998</c:v>
                </c:pt>
                <c:pt idx="4">
                  <c:v>58.204999999999998</c:v>
                </c:pt>
                <c:pt idx="5">
                  <c:v>57.204999999999998</c:v>
                </c:pt>
                <c:pt idx="6">
                  <c:v>56.204999999999998</c:v>
                </c:pt>
                <c:pt idx="7">
                  <c:v>55.204999999999998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CA-481A-894D-E3E9D0F01663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CA_17!$J$10:$J$22</c:f>
              <c:numCache>
                <c:formatCode>General</c:formatCode>
                <c:ptCount val="13"/>
                <c:pt idx="0">
                  <c:v>11</c:v>
                </c:pt>
                <c:pt idx="1">
                  <c:v>12</c:v>
                </c:pt>
                <c:pt idx="2">
                  <c:v>20</c:v>
                </c:pt>
                <c:pt idx="3">
                  <c:v>17</c:v>
                </c:pt>
                <c:pt idx="4">
                  <c:v>14</c:v>
                </c:pt>
                <c:pt idx="5">
                  <c:v>16</c:v>
                </c:pt>
                <c:pt idx="6">
                  <c:v>32</c:v>
                </c:pt>
                <c:pt idx="7">
                  <c:v>52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CA_17!$L$10:$L$22</c:f>
              <c:numCache>
                <c:formatCode>General</c:formatCode>
                <c:ptCount val="13"/>
                <c:pt idx="11" formatCode="\+0.00">
                  <c:v>63.204999999999998</c:v>
                </c:pt>
                <c:pt idx="12" formatCode="\+0.00">
                  <c:v>55.204999999999998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1CA-481A-894D-E3E9D0F01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302512"/>
        <c:axId val="-501300880"/>
      </c:scatterChart>
      <c:valAx>
        <c:axId val="-50130251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501300880"/>
        <c:crosses val="autoZero"/>
        <c:crossBetween val="midCat"/>
      </c:valAx>
      <c:valAx>
        <c:axId val="-501300880"/>
        <c:scaling>
          <c:orientation val="minMax"/>
          <c:min val="5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5013025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CA_18!$J$10:$J$20</c:f>
              <c:numCache>
                <c:formatCode>General</c:formatCode>
                <c:ptCount val="11"/>
                <c:pt idx="0">
                  <c:v>9</c:v>
                </c:pt>
                <c:pt idx="1">
                  <c:v>11</c:v>
                </c:pt>
                <c:pt idx="2">
                  <c:v>17</c:v>
                </c:pt>
                <c:pt idx="3">
                  <c:v>23</c:v>
                </c:pt>
                <c:pt idx="4">
                  <c:v>21</c:v>
                </c:pt>
                <c:pt idx="5">
                  <c:v>24</c:v>
                </c:pt>
                <c:pt idx="6">
                  <c:v>25</c:v>
                </c:pt>
                <c:pt idx="7">
                  <c:v>29</c:v>
                </c:pt>
                <c:pt idx="8">
                  <c:v>42</c:v>
                </c:pt>
              </c:numCache>
            </c:numRef>
          </c:xVal>
          <c:yVal>
            <c:numRef>
              <c:f>CA_18!$K$10:$K$20</c:f>
              <c:numCache>
                <c:formatCode>\+0.00</c:formatCode>
                <c:ptCount val="11"/>
                <c:pt idx="0">
                  <c:v>63.796999999999997</c:v>
                </c:pt>
                <c:pt idx="1">
                  <c:v>62.796999999999997</c:v>
                </c:pt>
                <c:pt idx="2">
                  <c:v>61.796999999999997</c:v>
                </c:pt>
                <c:pt idx="3">
                  <c:v>60.796999999999997</c:v>
                </c:pt>
                <c:pt idx="4">
                  <c:v>58.796999999999997</c:v>
                </c:pt>
                <c:pt idx="5">
                  <c:v>57.796999999999997</c:v>
                </c:pt>
                <c:pt idx="6">
                  <c:v>56.796999999999997</c:v>
                </c:pt>
                <c:pt idx="7">
                  <c:v>55.796999999999997</c:v>
                </c:pt>
                <c:pt idx="8">
                  <c:v>54.796999999999997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9C-4119-B13D-9AD88B0B26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CA_18!$J$10:$J$22</c:f>
              <c:numCache>
                <c:formatCode>General</c:formatCode>
                <c:ptCount val="13"/>
                <c:pt idx="0">
                  <c:v>9</c:v>
                </c:pt>
                <c:pt idx="1">
                  <c:v>11</c:v>
                </c:pt>
                <c:pt idx="2">
                  <c:v>17</c:v>
                </c:pt>
                <c:pt idx="3">
                  <c:v>23</c:v>
                </c:pt>
                <c:pt idx="4">
                  <c:v>21</c:v>
                </c:pt>
                <c:pt idx="5">
                  <c:v>24</c:v>
                </c:pt>
                <c:pt idx="6">
                  <c:v>25</c:v>
                </c:pt>
                <c:pt idx="7">
                  <c:v>29</c:v>
                </c:pt>
                <c:pt idx="8">
                  <c:v>42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CA_18!$L$10:$L$22</c:f>
              <c:numCache>
                <c:formatCode>General</c:formatCode>
                <c:ptCount val="13"/>
                <c:pt idx="11" formatCode="\+0.00">
                  <c:v>64.796999999999997</c:v>
                </c:pt>
                <c:pt idx="12" formatCode="\+0.00">
                  <c:v>54.796999999999997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89C-4119-B13D-9AD88B0B2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302512"/>
        <c:axId val="-501300880"/>
      </c:scatterChart>
      <c:valAx>
        <c:axId val="-50130251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501300880"/>
        <c:crosses val="autoZero"/>
        <c:crossBetween val="midCat"/>
      </c:valAx>
      <c:valAx>
        <c:axId val="-501300880"/>
        <c:scaling>
          <c:orientation val="minMax"/>
          <c:min val="5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5013025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CA_02!$J$10:$J$22</c:f>
              <c:numCache>
                <c:formatCode>General</c:formatCode>
                <c:ptCount val="13"/>
                <c:pt idx="0">
                  <c:v>13</c:v>
                </c:pt>
                <c:pt idx="1">
                  <c:v>12</c:v>
                </c:pt>
                <c:pt idx="2">
                  <c:v>19</c:v>
                </c:pt>
                <c:pt idx="3">
                  <c:v>30</c:v>
                </c:pt>
                <c:pt idx="4">
                  <c:v>36</c:v>
                </c:pt>
                <c:pt idx="5">
                  <c:v>36</c:v>
                </c:pt>
                <c:pt idx="6">
                  <c:v>42</c:v>
                </c:pt>
                <c:pt idx="7">
                  <c:v>57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CA_02!$K$10:$K$22</c:f>
              <c:numCache>
                <c:formatCode>\+0.00</c:formatCode>
                <c:ptCount val="13"/>
                <c:pt idx="0">
                  <c:v>54.997</c:v>
                </c:pt>
                <c:pt idx="1">
                  <c:v>53.997</c:v>
                </c:pt>
                <c:pt idx="2">
                  <c:v>52.997</c:v>
                </c:pt>
                <c:pt idx="3">
                  <c:v>51.997</c:v>
                </c:pt>
                <c:pt idx="4">
                  <c:v>50.997</c:v>
                </c:pt>
                <c:pt idx="5">
                  <c:v>49.997</c:v>
                </c:pt>
                <c:pt idx="6">
                  <c:v>48.997</c:v>
                </c:pt>
                <c:pt idx="7">
                  <c:v>47.997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8-4087-9F40-4417BA2A0EFC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CA_02!$J$10:$J$22</c:f>
              <c:numCache>
                <c:formatCode>General</c:formatCode>
                <c:ptCount val="13"/>
                <c:pt idx="0">
                  <c:v>13</c:v>
                </c:pt>
                <c:pt idx="1">
                  <c:v>12</c:v>
                </c:pt>
                <c:pt idx="2">
                  <c:v>19</c:v>
                </c:pt>
                <c:pt idx="3">
                  <c:v>30</c:v>
                </c:pt>
                <c:pt idx="4">
                  <c:v>36</c:v>
                </c:pt>
                <c:pt idx="5">
                  <c:v>36</c:v>
                </c:pt>
                <c:pt idx="6">
                  <c:v>42</c:v>
                </c:pt>
                <c:pt idx="7">
                  <c:v>57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CA_02!$L$10:$L$22</c:f>
              <c:numCache>
                <c:formatCode>General</c:formatCode>
                <c:ptCount val="13"/>
                <c:pt idx="11" formatCode="\+0.00">
                  <c:v>55.997</c:v>
                </c:pt>
                <c:pt idx="12" formatCode="\+0.00">
                  <c:v>47.997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58-4087-9F40-4417BA2A0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86693248"/>
        <c:axId val="-686688352"/>
      </c:scatterChart>
      <c:valAx>
        <c:axId val="-68669324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686688352"/>
        <c:crosses val="autoZero"/>
        <c:crossBetween val="midCat"/>
      </c:valAx>
      <c:valAx>
        <c:axId val="-686688352"/>
        <c:scaling>
          <c:orientation val="minMax"/>
          <c:min val="4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68669324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CA_19!$J$10:$J$20</c:f>
              <c:numCache>
                <c:formatCode>General</c:formatCode>
                <c:ptCount val="11"/>
                <c:pt idx="0">
                  <c:v>9</c:v>
                </c:pt>
                <c:pt idx="1">
                  <c:v>15</c:v>
                </c:pt>
                <c:pt idx="2">
                  <c:v>18</c:v>
                </c:pt>
                <c:pt idx="3">
                  <c:v>21</c:v>
                </c:pt>
                <c:pt idx="4">
                  <c:v>24</c:v>
                </c:pt>
                <c:pt idx="5">
                  <c:v>25</c:v>
                </c:pt>
                <c:pt idx="6">
                  <c:v>30</c:v>
                </c:pt>
                <c:pt idx="7">
                  <c:v>37</c:v>
                </c:pt>
                <c:pt idx="8">
                  <c:v>41</c:v>
                </c:pt>
                <c:pt idx="9">
                  <c:v>45</c:v>
                </c:pt>
              </c:numCache>
            </c:numRef>
          </c:xVal>
          <c:yVal>
            <c:numRef>
              <c:f>CA_19!$K$10:$K$20</c:f>
              <c:numCache>
                <c:formatCode>\+0.00</c:formatCode>
                <c:ptCount val="11"/>
                <c:pt idx="0">
                  <c:v>64.400999999999996</c:v>
                </c:pt>
                <c:pt idx="1">
                  <c:v>63.400999999999996</c:v>
                </c:pt>
                <c:pt idx="2">
                  <c:v>62.400999999999996</c:v>
                </c:pt>
                <c:pt idx="3">
                  <c:v>61.400999999999996</c:v>
                </c:pt>
                <c:pt idx="4">
                  <c:v>60.400999999999996</c:v>
                </c:pt>
                <c:pt idx="5">
                  <c:v>59.400999999999996</c:v>
                </c:pt>
                <c:pt idx="6">
                  <c:v>58.400999999999996</c:v>
                </c:pt>
                <c:pt idx="7">
                  <c:v>57.400999999999996</c:v>
                </c:pt>
                <c:pt idx="8">
                  <c:v>56.400999999999996</c:v>
                </c:pt>
                <c:pt idx="9">
                  <c:v>55.400999999999996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D7-4438-9EDF-EDF42379E123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CA_19!$J$10:$J$22</c:f>
              <c:numCache>
                <c:formatCode>General</c:formatCode>
                <c:ptCount val="13"/>
                <c:pt idx="0">
                  <c:v>9</c:v>
                </c:pt>
                <c:pt idx="1">
                  <c:v>15</c:v>
                </c:pt>
                <c:pt idx="2">
                  <c:v>18</c:v>
                </c:pt>
                <c:pt idx="3">
                  <c:v>21</c:v>
                </c:pt>
                <c:pt idx="4">
                  <c:v>24</c:v>
                </c:pt>
                <c:pt idx="5">
                  <c:v>25</c:v>
                </c:pt>
                <c:pt idx="6">
                  <c:v>30</c:v>
                </c:pt>
                <c:pt idx="7">
                  <c:v>37</c:v>
                </c:pt>
                <c:pt idx="8">
                  <c:v>41</c:v>
                </c:pt>
                <c:pt idx="9">
                  <c:v>45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CA_19!$L$10:$L$22</c:f>
              <c:numCache>
                <c:formatCode>General</c:formatCode>
                <c:ptCount val="13"/>
                <c:pt idx="11" formatCode="\+0.00">
                  <c:v>65.400999999999996</c:v>
                </c:pt>
                <c:pt idx="12" formatCode="\+0.00">
                  <c:v>55.400999999999996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9D7-4438-9EDF-EDF42379E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302512"/>
        <c:axId val="-501300880"/>
      </c:scatterChart>
      <c:valAx>
        <c:axId val="-50130251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501300880"/>
        <c:crosses val="autoZero"/>
        <c:crossBetween val="midCat"/>
      </c:valAx>
      <c:valAx>
        <c:axId val="-501300880"/>
        <c:scaling>
          <c:orientation val="minMax"/>
          <c:min val="5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5013025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CA_20!$J$10:$J$20</c:f>
              <c:numCache>
                <c:formatCode>General</c:formatCode>
                <c:ptCount val="11"/>
                <c:pt idx="0">
                  <c:v>10</c:v>
                </c:pt>
                <c:pt idx="1">
                  <c:v>13</c:v>
                </c:pt>
                <c:pt idx="2">
                  <c:v>16</c:v>
                </c:pt>
                <c:pt idx="3">
                  <c:v>17</c:v>
                </c:pt>
                <c:pt idx="4">
                  <c:v>21</c:v>
                </c:pt>
                <c:pt idx="5">
                  <c:v>24</c:v>
                </c:pt>
                <c:pt idx="6">
                  <c:v>27</c:v>
                </c:pt>
                <c:pt idx="7">
                  <c:v>34</c:v>
                </c:pt>
                <c:pt idx="8">
                  <c:v>34</c:v>
                </c:pt>
                <c:pt idx="9">
                  <c:v>49</c:v>
                </c:pt>
              </c:numCache>
            </c:numRef>
          </c:xVal>
          <c:yVal>
            <c:numRef>
              <c:f>CA_20!$K$10:$K$20</c:f>
              <c:numCache>
                <c:formatCode>\+0.00</c:formatCode>
                <c:ptCount val="11"/>
                <c:pt idx="0">
                  <c:v>62.819000000000003</c:v>
                </c:pt>
                <c:pt idx="1">
                  <c:v>61.819000000000003</c:v>
                </c:pt>
                <c:pt idx="2">
                  <c:v>60.819000000000003</c:v>
                </c:pt>
                <c:pt idx="3">
                  <c:v>59.819000000000003</c:v>
                </c:pt>
                <c:pt idx="4">
                  <c:v>58.819000000000003</c:v>
                </c:pt>
                <c:pt idx="5">
                  <c:v>57.819000000000003</c:v>
                </c:pt>
                <c:pt idx="6">
                  <c:v>56.819000000000003</c:v>
                </c:pt>
                <c:pt idx="7">
                  <c:v>55.819000000000003</c:v>
                </c:pt>
                <c:pt idx="8">
                  <c:v>54.819000000000003</c:v>
                </c:pt>
                <c:pt idx="9">
                  <c:v>53.819000000000003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B1-4852-A1F0-6872FC93D6D7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CA_20!$J$10:$J$22</c:f>
              <c:numCache>
                <c:formatCode>General</c:formatCode>
                <c:ptCount val="13"/>
                <c:pt idx="0">
                  <c:v>10</c:v>
                </c:pt>
                <c:pt idx="1">
                  <c:v>13</c:v>
                </c:pt>
                <c:pt idx="2">
                  <c:v>16</c:v>
                </c:pt>
                <c:pt idx="3">
                  <c:v>17</c:v>
                </c:pt>
                <c:pt idx="4">
                  <c:v>21</c:v>
                </c:pt>
                <c:pt idx="5">
                  <c:v>24</c:v>
                </c:pt>
                <c:pt idx="6">
                  <c:v>27</c:v>
                </c:pt>
                <c:pt idx="7">
                  <c:v>34</c:v>
                </c:pt>
                <c:pt idx="8">
                  <c:v>34</c:v>
                </c:pt>
                <c:pt idx="9">
                  <c:v>49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CA_20!$L$10:$L$22</c:f>
              <c:numCache>
                <c:formatCode>General</c:formatCode>
                <c:ptCount val="13"/>
                <c:pt idx="11" formatCode="\+0.00">
                  <c:v>63.819000000000003</c:v>
                </c:pt>
                <c:pt idx="12" formatCode="\+0.00">
                  <c:v>53.819000000000003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1B1-4852-A1F0-6872FC93D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302512"/>
        <c:axId val="-501300880"/>
      </c:scatterChart>
      <c:valAx>
        <c:axId val="-50130251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501300880"/>
        <c:crosses val="autoZero"/>
        <c:crossBetween val="midCat"/>
      </c:valAx>
      <c:valAx>
        <c:axId val="-501300880"/>
        <c:scaling>
          <c:orientation val="minMax"/>
          <c:min val="5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5013025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CA_21!$J$10:$J$20</c:f>
              <c:numCache>
                <c:formatCode>General</c:formatCode>
                <c:ptCount val="11"/>
                <c:pt idx="0">
                  <c:v>9</c:v>
                </c:pt>
                <c:pt idx="1">
                  <c:v>12</c:v>
                </c:pt>
                <c:pt idx="2">
                  <c:v>16</c:v>
                </c:pt>
                <c:pt idx="3">
                  <c:v>21</c:v>
                </c:pt>
                <c:pt idx="4">
                  <c:v>26</c:v>
                </c:pt>
                <c:pt idx="5">
                  <c:v>34</c:v>
                </c:pt>
                <c:pt idx="6">
                  <c:v>36</c:v>
                </c:pt>
                <c:pt idx="7">
                  <c:v>43</c:v>
                </c:pt>
                <c:pt idx="8">
                  <c:v>58</c:v>
                </c:pt>
              </c:numCache>
            </c:numRef>
          </c:xVal>
          <c:yVal>
            <c:numRef>
              <c:f>CA_21!$K$10:$K$20</c:f>
              <c:numCache>
                <c:formatCode>\+0.00</c:formatCode>
                <c:ptCount val="11"/>
                <c:pt idx="0">
                  <c:v>59.145000000000003</c:v>
                </c:pt>
                <c:pt idx="1">
                  <c:v>58.145000000000003</c:v>
                </c:pt>
                <c:pt idx="2">
                  <c:v>57.145000000000003</c:v>
                </c:pt>
                <c:pt idx="3">
                  <c:v>56.145000000000003</c:v>
                </c:pt>
                <c:pt idx="4">
                  <c:v>55.145000000000003</c:v>
                </c:pt>
                <c:pt idx="5">
                  <c:v>54.145000000000003</c:v>
                </c:pt>
                <c:pt idx="6">
                  <c:v>53.145000000000003</c:v>
                </c:pt>
                <c:pt idx="7">
                  <c:v>52.145000000000003</c:v>
                </c:pt>
                <c:pt idx="8">
                  <c:v>51.645000000000003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D1-44AA-ABC4-1FF2006F6343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CA_21!$J$10:$J$22</c:f>
              <c:numCache>
                <c:formatCode>General</c:formatCode>
                <c:ptCount val="13"/>
                <c:pt idx="0">
                  <c:v>9</c:v>
                </c:pt>
                <c:pt idx="1">
                  <c:v>12</c:v>
                </c:pt>
                <c:pt idx="2">
                  <c:v>16</c:v>
                </c:pt>
                <c:pt idx="3">
                  <c:v>21</c:v>
                </c:pt>
                <c:pt idx="4">
                  <c:v>26</c:v>
                </c:pt>
                <c:pt idx="5">
                  <c:v>34</c:v>
                </c:pt>
                <c:pt idx="6">
                  <c:v>36</c:v>
                </c:pt>
                <c:pt idx="7">
                  <c:v>43</c:v>
                </c:pt>
                <c:pt idx="8">
                  <c:v>58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CA_21!$L$10:$L$22</c:f>
              <c:numCache>
                <c:formatCode>General</c:formatCode>
                <c:ptCount val="13"/>
                <c:pt idx="11" formatCode="\+0.00">
                  <c:v>60.145000000000003</c:v>
                </c:pt>
                <c:pt idx="12" formatCode="\+0.00">
                  <c:v>51.645000000000003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8D1-44AA-ABC4-1FF2006F6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302512"/>
        <c:axId val="-501300880"/>
      </c:scatterChart>
      <c:valAx>
        <c:axId val="-50130251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501300880"/>
        <c:crosses val="autoZero"/>
        <c:crossBetween val="midCat"/>
      </c:valAx>
      <c:valAx>
        <c:axId val="-50130088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5013025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CA_22!$J$10:$J$20</c:f>
              <c:numCache>
                <c:formatCode>General</c:formatCode>
                <c:ptCount val="11"/>
                <c:pt idx="0">
                  <c:v>11</c:v>
                </c:pt>
                <c:pt idx="1">
                  <c:v>13</c:v>
                </c:pt>
                <c:pt idx="2">
                  <c:v>15</c:v>
                </c:pt>
                <c:pt idx="3">
                  <c:v>18</c:v>
                </c:pt>
                <c:pt idx="4">
                  <c:v>23</c:v>
                </c:pt>
                <c:pt idx="5">
                  <c:v>27</c:v>
                </c:pt>
                <c:pt idx="6">
                  <c:v>46</c:v>
                </c:pt>
                <c:pt idx="7">
                  <c:v>63</c:v>
                </c:pt>
              </c:numCache>
            </c:numRef>
          </c:xVal>
          <c:yVal>
            <c:numRef>
              <c:f>CA_22!$K$10:$K$20</c:f>
              <c:numCache>
                <c:formatCode>\+0.00</c:formatCode>
                <c:ptCount val="11"/>
                <c:pt idx="0">
                  <c:v>58.692999999999998</c:v>
                </c:pt>
                <c:pt idx="1">
                  <c:v>57.692999999999998</c:v>
                </c:pt>
                <c:pt idx="2">
                  <c:v>56.692999999999998</c:v>
                </c:pt>
                <c:pt idx="3">
                  <c:v>55.692999999999998</c:v>
                </c:pt>
                <c:pt idx="4">
                  <c:v>54.692999999999998</c:v>
                </c:pt>
                <c:pt idx="5">
                  <c:v>53.692999999999998</c:v>
                </c:pt>
                <c:pt idx="6">
                  <c:v>52.692999999999998</c:v>
                </c:pt>
                <c:pt idx="7">
                  <c:v>51.692999999999998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6EA-45E4-BC9B-53C16E4F61DA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CA_22!$J$10:$J$22</c:f>
              <c:numCache>
                <c:formatCode>General</c:formatCode>
                <c:ptCount val="13"/>
                <c:pt idx="0">
                  <c:v>11</c:v>
                </c:pt>
                <c:pt idx="1">
                  <c:v>13</c:v>
                </c:pt>
                <c:pt idx="2">
                  <c:v>15</c:v>
                </c:pt>
                <c:pt idx="3">
                  <c:v>18</c:v>
                </c:pt>
                <c:pt idx="4">
                  <c:v>23</c:v>
                </c:pt>
                <c:pt idx="5">
                  <c:v>27</c:v>
                </c:pt>
                <c:pt idx="6">
                  <c:v>46</c:v>
                </c:pt>
                <c:pt idx="7">
                  <c:v>63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CA_22!$L$10:$L$22</c:f>
              <c:numCache>
                <c:formatCode>General</c:formatCode>
                <c:ptCount val="13"/>
                <c:pt idx="11" formatCode="\+0.00">
                  <c:v>59.692999999999998</c:v>
                </c:pt>
                <c:pt idx="12" formatCode="\+0.00">
                  <c:v>51.692999999999998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6EA-45E4-BC9B-53C16E4F6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302512"/>
        <c:axId val="-501300880"/>
      </c:scatterChart>
      <c:valAx>
        <c:axId val="-50130251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501300880"/>
        <c:crosses val="autoZero"/>
        <c:crossBetween val="midCat"/>
      </c:valAx>
      <c:valAx>
        <c:axId val="-50130088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5013025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CA_23!$J$10:$J$20</c:f>
              <c:numCache>
                <c:formatCode>General</c:formatCode>
                <c:ptCount val="11"/>
                <c:pt idx="0">
                  <c:v>8</c:v>
                </c:pt>
                <c:pt idx="1">
                  <c:v>10</c:v>
                </c:pt>
                <c:pt idx="2">
                  <c:v>13</c:v>
                </c:pt>
                <c:pt idx="3">
                  <c:v>13</c:v>
                </c:pt>
                <c:pt idx="4">
                  <c:v>16</c:v>
                </c:pt>
                <c:pt idx="5">
                  <c:v>26</c:v>
                </c:pt>
                <c:pt idx="6">
                  <c:v>33</c:v>
                </c:pt>
                <c:pt idx="7">
                  <c:v>35</c:v>
                </c:pt>
                <c:pt idx="8">
                  <c:v>43</c:v>
                </c:pt>
                <c:pt idx="9">
                  <c:v>53</c:v>
                </c:pt>
              </c:numCache>
            </c:numRef>
          </c:xVal>
          <c:yVal>
            <c:numRef>
              <c:f>CA_23!$K$10:$K$20</c:f>
              <c:numCache>
                <c:formatCode>\+0.00</c:formatCode>
                <c:ptCount val="11"/>
                <c:pt idx="0">
                  <c:v>59.512</c:v>
                </c:pt>
                <c:pt idx="1">
                  <c:v>58.512</c:v>
                </c:pt>
                <c:pt idx="2">
                  <c:v>57.512</c:v>
                </c:pt>
                <c:pt idx="3">
                  <c:v>56.512</c:v>
                </c:pt>
                <c:pt idx="4">
                  <c:v>55.512</c:v>
                </c:pt>
                <c:pt idx="5">
                  <c:v>54.512</c:v>
                </c:pt>
                <c:pt idx="6">
                  <c:v>53.512</c:v>
                </c:pt>
                <c:pt idx="7">
                  <c:v>52.512</c:v>
                </c:pt>
                <c:pt idx="8">
                  <c:v>51.512</c:v>
                </c:pt>
                <c:pt idx="9">
                  <c:v>50.512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6A-477B-9DB2-597267947933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CA_23!$J$10:$J$22</c:f>
              <c:numCache>
                <c:formatCode>General</c:formatCode>
                <c:ptCount val="13"/>
                <c:pt idx="0">
                  <c:v>8</c:v>
                </c:pt>
                <c:pt idx="1">
                  <c:v>10</c:v>
                </c:pt>
                <c:pt idx="2">
                  <c:v>13</c:v>
                </c:pt>
                <c:pt idx="3">
                  <c:v>13</c:v>
                </c:pt>
                <c:pt idx="4">
                  <c:v>16</c:v>
                </c:pt>
                <c:pt idx="5">
                  <c:v>26</c:v>
                </c:pt>
                <c:pt idx="6">
                  <c:v>33</c:v>
                </c:pt>
                <c:pt idx="7">
                  <c:v>35</c:v>
                </c:pt>
                <c:pt idx="8">
                  <c:v>43</c:v>
                </c:pt>
                <c:pt idx="9">
                  <c:v>53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CA_23!$L$10:$L$22</c:f>
              <c:numCache>
                <c:formatCode>General</c:formatCode>
                <c:ptCount val="13"/>
                <c:pt idx="11" formatCode="\+0.00">
                  <c:v>60.512</c:v>
                </c:pt>
                <c:pt idx="12" formatCode="\+0.00">
                  <c:v>50.512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96A-477B-9DB2-597267947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302512"/>
        <c:axId val="-501300880"/>
      </c:scatterChart>
      <c:valAx>
        <c:axId val="-50130251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501300880"/>
        <c:crosses val="autoZero"/>
        <c:crossBetween val="midCat"/>
      </c:valAx>
      <c:valAx>
        <c:axId val="-501300880"/>
        <c:scaling>
          <c:orientation val="minMax"/>
          <c:min val="4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5013025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CA_24!$J$10:$J$20</c:f>
              <c:numCache>
                <c:formatCode>General</c:formatCode>
                <c:ptCount val="11"/>
                <c:pt idx="0">
                  <c:v>10</c:v>
                </c:pt>
                <c:pt idx="1">
                  <c:v>8</c:v>
                </c:pt>
                <c:pt idx="2">
                  <c:v>13</c:v>
                </c:pt>
                <c:pt idx="3">
                  <c:v>19</c:v>
                </c:pt>
                <c:pt idx="4">
                  <c:v>28</c:v>
                </c:pt>
                <c:pt idx="5">
                  <c:v>36</c:v>
                </c:pt>
                <c:pt idx="6">
                  <c:v>33</c:v>
                </c:pt>
                <c:pt idx="7">
                  <c:v>45</c:v>
                </c:pt>
                <c:pt idx="8">
                  <c:v>61</c:v>
                </c:pt>
              </c:numCache>
            </c:numRef>
          </c:xVal>
          <c:yVal>
            <c:numRef>
              <c:f>CA_24!$K$10:$K$20</c:f>
              <c:numCache>
                <c:formatCode>\+0.00</c:formatCode>
                <c:ptCount val="11"/>
                <c:pt idx="0">
                  <c:v>57.832999999999998</c:v>
                </c:pt>
                <c:pt idx="1">
                  <c:v>56.832999999999998</c:v>
                </c:pt>
                <c:pt idx="2">
                  <c:v>55.832999999999998</c:v>
                </c:pt>
                <c:pt idx="3">
                  <c:v>54.832999999999998</c:v>
                </c:pt>
                <c:pt idx="4">
                  <c:v>53.832999999999998</c:v>
                </c:pt>
                <c:pt idx="5">
                  <c:v>52.832999999999998</c:v>
                </c:pt>
                <c:pt idx="6">
                  <c:v>51.832999999999998</c:v>
                </c:pt>
                <c:pt idx="7">
                  <c:v>50.832999999999998</c:v>
                </c:pt>
                <c:pt idx="8">
                  <c:v>50.332999999999998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2A-4C11-9239-18335ED0430B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CA_24!$J$10:$J$22</c:f>
              <c:numCache>
                <c:formatCode>General</c:formatCode>
                <c:ptCount val="13"/>
                <c:pt idx="0">
                  <c:v>10</c:v>
                </c:pt>
                <c:pt idx="1">
                  <c:v>8</c:v>
                </c:pt>
                <c:pt idx="2">
                  <c:v>13</c:v>
                </c:pt>
                <c:pt idx="3">
                  <c:v>19</c:v>
                </c:pt>
                <c:pt idx="4">
                  <c:v>28</c:v>
                </c:pt>
                <c:pt idx="5">
                  <c:v>36</c:v>
                </c:pt>
                <c:pt idx="6">
                  <c:v>33</c:v>
                </c:pt>
                <c:pt idx="7">
                  <c:v>45</c:v>
                </c:pt>
                <c:pt idx="8">
                  <c:v>61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CA_24!$L$10:$L$22</c:f>
              <c:numCache>
                <c:formatCode>General</c:formatCode>
                <c:ptCount val="13"/>
                <c:pt idx="11" formatCode="\+0.00">
                  <c:v>58.832999999999998</c:v>
                </c:pt>
                <c:pt idx="12" formatCode="\+0.00">
                  <c:v>50.332999999999998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72A-4C11-9239-18335ED04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1302512"/>
        <c:axId val="-501300880"/>
      </c:scatterChart>
      <c:valAx>
        <c:axId val="-50130251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501300880"/>
        <c:crosses val="autoZero"/>
        <c:crossBetween val="midCat"/>
      </c:valAx>
      <c:valAx>
        <c:axId val="-501300880"/>
        <c:scaling>
          <c:orientation val="minMax"/>
          <c:min val="4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5013025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CA_03!$J$10:$J$22</c:f>
              <c:numCache>
                <c:formatCode>General</c:formatCode>
                <c:ptCount val="13"/>
                <c:pt idx="0">
                  <c:v>9</c:v>
                </c:pt>
                <c:pt idx="1">
                  <c:v>7</c:v>
                </c:pt>
                <c:pt idx="2">
                  <c:v>7</c:v>
                </c:pt>
                <c:pt idx="3">
                  <c:v>14</c:v>
                </c:pt>
                <c:pt idx="4">
                  <c:v>29</c:v>
                </c:pt>
                <c:pt idx="5">
                  <c:v>35</c:v>
                </c:pt>
                <c:pt idx="6">
                  <c:v>49</c:v>
                </c:pt>
                <c:pt idx="7">
                  <c:v>52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CA_03!$K$10:$K$22</c:f>
              <c:numCache>
                <c:formatCode>\+0.00</c:formatCode>
                <c:ptCount val="13"/>
                <c:pt idx="0">
                  <c:v>49.828000000000003</c:v>
                </c:pt>
                <c:pt idx="1">
                  <c:v>48.828000000000003</c:v>
                </c:pt>
                <c:pt idx="2">
                  <c:v>47.828000000000003</c:v>
                </c:pt>
                <c:pt idx="3">
                  <c:v>46.828000000000003</c:v>
                </c:pt>
                <c:pt idx="4">
                  <c:v>45.828000000000003</c:v>
                </c:pt>
                <c:pt idx="5">
                  <c:v>44.828000000000003</c:v>
                </c:pt>
                <c:pt idx="6">
                  <c:v>43.828000000000003</c:v>
                </c:pt>
                <c:pt idx="7">
                  <c:v>42.828000000000003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264-4868-BEE2-75DD3627E81E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CA_03!$J$10:$J$22</c:f>
              <c:numCache>
                <c:formatCode>General</c:formatCode>
                <c:ptCount val="13"/>
                <c:pt idx="0">
                  <c:v>9</c:v>
                </c:pt>
                <c:pt idx="1">
                  <c:v>7</c:v>
                </c:pt>
                <c:pt idx="2">
                  <c:v>7</c:v>
                </c:pt>
                <c:pt idx="3">
                  <c:v>14</c:v>
                </c:pt>
                <c:pt idx="4">
                  <c:v>29</c:v>
                </c:pt>
                <c:pt idx="5">
                  <c:v>35</c:v>
                </c:pt>
                <c:pt idx="6">
                  <c:v>49</c:v>
                </c:pt>
                <c:pt idx="7">
                  <c:v>52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CA_03!$L$10:$L$22</c:f>
              <c:numCache>
                <c:formatCode>General</c:formatCode>
                <c:ptCount val="13"/>
                <c:pt idx="11" formatCode="\+0.00">
                  <c:v>50.828000000000003</c:v>
                </c:pt>
                <c:pt idx="12" formatCode="\+0.00">
                  <c:v>42.828000000000003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264-4868-BEE2-75DD3627E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86689984"/>
        <c:axId val="-686686720"/>
      </c:scatterChart>
      <c:valAx>
        <c:axId val="-686689984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686686720"/>
        <c:crosses val="autoZero"/>
        <c:crossBetween val="midCat"/>
      </c:valAx>
      <c:valAx>
        <c:axId val="-686686720"/>
        <c:scaling>
          <c:orientation val="minMax"/>
          <c:min val="4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68668998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CA_04!$J$10:$J$22</c:f>
              <c:numCache>
                <c:formatCode>General</c:formatCode>
                <c:ptCount val="13"/>
                <c:pt idx="0">
                  <c:v>5</c:v>
                </c:pt>
                <c:pt idx="1">
                  <c:v>9</c:v>
                </c:pt>
                <c:pt idx="2">
                  <c:v>22</c:v>
                </c:pt>
                <c:pt idx="3">
                  <c:v>33</c:v>
                </c:pt>
                <c:pt idx="4">
                  <c:v>34</c:v>
                </c:pt>
                <c:pt idx="5">
                  <c:v>43</c:v>
                </c:pt>
                <c:pt idx="6">
                  <c:v>46</c:v>
                </c:pt>
                <c:pt idx="7">
                  <c:v>50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CA_04!$K$10:$K$22</c:f>
              <c:numCache>
                <c:formatCode>\+0.00</c:formatCode>
                <c:ptCount val="13"/>
                <c:pt idx="0">
                  <c:v>47.165999999999997</c:v>
                </c:pt>
                <c:pt idx="1">
                  <c:v>46.165999999999997</c:v>
                </c:pt>
                <c:pt idx="2">
                  <c:v>45.165999999999997</c:v>
                </c:pt>
                <c:pt idx="3">
                  <c:v>44.165999999999997</c:v>
                </c:pt>
                <c:pt idx="4">
                  <c:v>43.165999999999997</c:v>
                </c:pt>
                <c:pt idx="5">
                  <c:v>42.165999999999997</c:v>
                </c:pt>
                <c:pt idx="6">
                  <c:v>41.165999999999997</c:v>
                </c:pt>
                <c:pt idx="7">
                  <c:v>40.665999999999997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61-4704-89ED-33DA08E02BBB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CA_04!$J$10:$J$22</c:f>
              <c:numCache>
                <c:formatCode>General</c:formatCode>
                <c:ptCount val="13"/>
                <c:pt idx="0">
                  <c:v>5</c:v>
                </c:pt>
                <c:pt idx="1">
                  <c:v>9</c:v>
                </c:pt>
                <c:pt idx="2">
                  <c:v>22</c:v>
                </c:pt>
                <c:pt idx="3">
                  <c:v>33</c:v>
                </c:pt>
                <c:pt idx="4">
                  <c:v>34</c:v>
                </c:pt>
                <c:pt idx="5">
                  <c:v>43</c:v>
                </c:pt>
                <c:pt idx="6">
                  <c:v>46</c:v>
                </c:pt>
                <c:pt idx="7">
                  <c:v>50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CA_04!$L$10:$L$22</c:f>
              <c:numCache>
                <c:formatCode>General</c:formatCode>
                <c:ptCount val="13"/>
                <c:pt idx="11" formatCode="\+0.00">
                  <c:v>48.165999999999997</c:v>
                </c:pt>
                <c:pt idx="12" formatCode="\+0.00">
                  <c:v>40.665999999999997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F61-4704-89ED-33DA08E02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1994608"/>
        <c:axId val="-432003312"/>
      </c:scatterChart>
      <c:valAx>
        <c:axId val="-43199460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2003312"/>
        <c:crosses val="autoZero"/>
        <c:crossBetween val="midCat"/>
      </c:valAx>
      <c:valAx>
        <c:axId val="-432003312"/>
        <c:scaling>
          <c:orientation val="minMax"/>
          <c:min val="4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199460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CA_05!$J$10:$J$20</c:f>
              <c:numCache>
                <c:formatCode>General</c:formatCode>
                <c:ptCount val="11"/>
                <c:pt idx="0">
                  <c:v>6</c:v>
                </c:pt>
                <c:pt idx="1">
                  <c:v>10</c:v>
                </c:pt>
                <c:pt idx="2">
                  <c:v>31</c:v>
                </c:pt>
                <c:pt idx="3">
                  <c:v>37</c:v>
                </c:pt>
                <c:pt idx="4">
                  <c:v>41</c:v>
                </c:pt>
                <c:pt idx="5">
                  <c:v>37</c:v>
                </c:pt>
                <c:pt idx="6">
                  <c:v>50</c:v>
                </c:pt>
              </c:numCache>
            </c:numRef>
          </c:xVal>
          <c:yVal>
            <c:numRef>
              <c:f>CA_05!$K$10:$K$20</c:f>
              <c:numCache>
                <c:formatCode>\+0.00</c:formatCode>
                <c:ptCount val="11"/>
                <c:pt idx="0">
                  <c:v>46.253</c:v>
                </c:pt>
                <c:pt idx="1">
                  <c:v>45.253</c:v>
                </c:pt>
                <c:pt idx="2">
                  <c:v>44.253</c:v>
                </c:pt>
                <c:pt idx="3">
                  <c:v>43.253</c:v>
                </c:pt>
                <c:pt idx="4">
                  <c:v>42.253</c:v>
                </c:pt>
                <c:pt idx="5">
                  <c:v>41.253</c:v>
                </c:pt>
                <c:pt idx="6">
                  <c:v>40.253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2B-4D80-9A03-201C082BE103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CA_05!$J$10:$J$22</c:f>
              <c:numCache>
                <c:formatCode>General</c:formatCode>
                <c:ptCount val="13"/>
                <c:pt idx="0">
                  <c:v>6</c:v>
                </c:pt>
                <c:pt idx="1">
                  <c:v>10</c:v>
                </c:pt>
                <c:pt idx="2">
                  <c:v>31</c:v>
                </c:pt>
                <c:pt idx="3">
                  <c:v>37</c:v>
                </c:pt>
                <c:pt idx="4">
                  <c:v>41</c:v>
                </c:pt>
                <c:pt idx="5">
                  <c:v>37</c:v>
                </c:pt>
                <c:pt idx="6">
                  <c:v>50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CA_05!$L$10:$L$22</c:f>
              <c:numCache>
                <c:formatCode>General</c:formatCode>
                <c:ptCount val="13"/>
                <c:pt idx="11" formatCode="\+0.00">
                  <c:v>47.253</c:v>
                </c:pt>
                <c:pt idx="12" formatCode="\+0.00">
                  <c:v>40.253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92B-4D80-9A03-201C082BE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2010928"/>
        <c:axId val="-431983184"/>
      </c:scatterChart>
      <c:valAx>
        <c:axId val="-4320109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1983184"/>
        <c:crosses val="autoZero"/>
        <c:crossBetween val="midCat"/>
      </c:valAx>
      <c:valAx>
        <c:axId val="-431983184"/>
        <c:scaling>
          <c:orientation val="minMax"/>
          <c:min val="3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20109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CA_06!$J$10:$J$22</c:f>
              <c:numCache>
                <c:formatCode>General</c:formatCode>
                <c:ptCount val="13"/>
                <c:pt idx="0">
                  <c:v>10</c:v>
                </c:pt>
                <c:pt idx="1">
                  <c:v>15</c:v>
                </c:pt>
                <c:pt idx="2">
                  <c:v>15</c:v>
                </c:pt>
                <c:pt idx="3">
                  <c:v>22</c:v>
                </c:pt>
                <c:pt idx="4">
                  <c:v>29</c:v>
                </c:pt>
                <c:pt idx="5">
                  <c:v>55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CA_06!$K$10:$K$22</c:f>
              <c:numCache>
                <c:formatCode>\+0.00</c:formatCode>
                <c:ptCount val="13"/>
                <c:pt idx="0">
                  <c:v>52.640999999999998</c:v>
                </c:pt>
                <c:pt idx="1">
                  <c:v>51.640999999999998</c:v>
                </c:pt>
                <c:pt idx="2">
                  <c:v>50.640999999999998</c:v>
                </c:pt>
                <c:pt idx="3">
                  <c:v>49.640999999999998</c:v>
                </c:pt>
                <c:pt idx="4">
                  <c:v>48.640999999999998</c:v>
                </c:pt>
                <c:pt idx="5">
                  <c:v>47.640999999999998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4A-4699-9C11-586DDCCAF96E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CA_06!$J$10:$J$22</c:f>
              <c:numCache>
                <c:formatCode>General</c:formatCode>
                <c:ptCount val="13"/>
                <c:pt idx="0">
                  <c:v>10</c:v>
                </c:pt>
                <c:pt idx="1">
                  <c:v>15</c:v>
                </c:pt>
                <c:pt idx="2">
                  <c:v>15</c:v>
                </c:pt>
                <c:pt idx="3">
                  <c:v>22</c:v>
                </c:pt>
                <c:pt idx="4">
                  <c:v>29</c:v>
                </c:pt>
                <c:pt idx="5">
                  <c:v>55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CA_06!$L$10:$L$22</c:f>
              <c:numCache>
                <c:formatCode>General</c:formatCode>
                <c:ptCount val="13"/>
                <c:pt idx="11" formatCode="\+0.00">
                  <c:v>53.640999999999998</c:v>
                </c:pt>
                <c:pt idx="12" formatCode="\+0.00">
                  <c:v>47.640999999999998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4A-4699-9C11-586DDCCAF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2001680"/>
        <c:axId val="-432004400"/>
      </c:scatterChart>
      <c:valAx>
        <c:axId val="-432001680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2004400"/>
        <c:crosses val="autoZero"/>
        <c:crossBetween val="midCat"/>
      </c:valAx>
      <c:valAx>
        <c:axId val="-432004400"/>
        <c:scaling>
          <c:orientation val="minMax"/>
          <c:min val="4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200168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'CA_07 '!$J$10:$J$22</c:f>
              <c:numCache>
                <c:formatCode>General</c:formatCode>
                <c:ptCount val="13"/>
                <c:pt idx="0">
                  <c:v>8</c:v>
                </c:pt>
                <c:pt idx="1">
                  <c:v>15</c:v>
                </c:pt>
                <c:pt idx="2">
                  <c:v>19</c:v>
                </c:pt>
                <c:pt idx="3">
                  <c:v>25</c:v>
                </c:pt>
                <c:pt idx="4">
                  <c:v>37</c:v>
                </c:pt>
                <c:pt idx="5">
                  <c:v>43</c:v>
                </c:pt>
                <c:pt idx="6">
                  <c:v>69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'CA_07 '!$K$10:$K$22</c:f>
              <c:numCache>
                <c:formatCode>\+0.00</c:formatCode>
                <c:ptCount val="13"/>
                <c:pt idx="0">
                  <c:v>52.615000000000002</c:v>
                </c:pt>
                <c:pt idx="1">
                  <c:v>51.615000000000002</c:v>
                </c:pt>
                <c:pt idx="2">
                  <c:v>50.615000000000002</c:v>
                </c:pt>
                <c:pt idx="3">
                  <c:v>49.615000000000002</c:v>
                </c:pt>
                <c:pt idx="4">
                  <c:v>48.615000000000002</c:v>
                </c:pt>
                <c:pt idx="5">
                  <c:v>47.615000000000002</c:v>
                </c:pt>
                <c:pt idx="6">
                  <c:v>46.615000000000002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59-4E68-92BC-B76FEDD50B2C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'CA_07 '!$J$10:$J$22</c:f>
              <c:numCache>
                <c:formatCode>General</c:formatCode>
                <c:ptCount val="13"/>
                <c:pt idx="0">
                  <c:v>8</c:v>
                </c:pt>
                <c:pt idx="1">
                  <c:v>15</c:v>
                </c:pt>
                <c:pt idx="2">
                  <c:v>19</c:v>
                </c:pt>
                <c:pt idx="3">
                  <c:v>25</c:v>
                </c:pt>
                <c:pt idx="4">
                  <c:v>37</c:v>
                </c:pt>
                <c:pt idx="5">
                  <c:v>43</c:v>
                </c:pt>
                <c:pt idx="6">
                  <c:v>69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'CA_07 '!$L$10:$L$22</c:f>
              <c:numCache>
                <c:formatCode>General</c:formatCode>
                <c:ptCount val="13"/>
                <c:pt idx="11" formatCode="\+0.00">
                  <c:v>53.615000000000002</c:v>
                </c:pt>
                <c:pt idx="12" formatCode="\+0.00">
                  <c:v>46.615000000000002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59-4E68-92BC-B76FEDD50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2000048"/>
        <c:axId val="-431994064"/>
      </c:scatterChart>
      <c:valAx>
        <c:axId val="-43200004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1994064"/>
        <c:crosses val="autoZero"/>
        <c:crossBetween val="midCat"/>
      </c:valAx>
      <c:valAx>
        <c:axId val="-431994064"/>
        <c:scaling>
          <c:orientation val="minMax"/>
          <c:min val="4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200004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CA_08!$J$10:$J$22</c:f>
              <c:numCache>
                <c:formatCode>General</c:formatCode>
                <c:ptCount val="13"/>
                <c:pt idx="0">
                  <c:v>14</c:v>
                </c:pt>
                <c:pt idx="1">
                  <c:v>13</c:v>
                </c:pt>
                <c:pt idx="2">
                  <c:v>18</c:v>
                </c:pt>
                <c:pt idx="3">
                  <c:v>33</c:v>
                </c:pt>
                <c:pt idx="4">
                  <c:v>42</c:v>
                </c:pt>
                <c:pt idx="5">
                  <c:v>54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CA_08!$K$10:$K$22</c:f>
              <c:numCache>
                <c:formatCode>\+0.00</c:formatCode>
                <c:ptCount val="13"/>
                <c:pt idx="0">
                  <c:v>53.817999999999998</c:v>
                </c:pt>
                <c:pt idx="1">
                  <c:v>52.817999999999998</c:v>
                </c:pt>
                <c:pt idx="2">
                  <c:v>51.817999999999998</c:v>
                </c:pt>
                <c:pt idx="3">
                  <c:v>50.817999999999998</c:v>
                </c:pt>
                <c:pt idx="4">
                  <c:v>49.817999999999998</c:v>
                </c:pt>
                <c:pt idx="5">
                  <c:v>48.817999999999998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7F-45F3-BD9B-5820B8442CEC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CA_08!$J$10:$J$22</c:f>
              <c:numCache>
                <c:formatCode>General</c:formatCode>
                <c:ptCount val="13"/>
                <c:pt idx="0">
                  <c:v>14</c:v>
                </c:pt>
                <c:pt idx="1">
                  <c:v>13</c:v>
                </c:pt>
                <c:pt idx="2">
                  <c:v>18</c:v>
                </c:pt>
                <c:pt idx="3">
                  <c:v>33</c:v>
                </c:pt>
                <c:pt idx="4">
                  <c:v>42</c:v>
                </c:pt>
                <c:pt idx="5">
                  <c:v>54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CA_08!$L$10:$L$22</c:f>
              <c:numCache>
                <c:formatCode>General</c:formatCode>
                <c:ptCount val="13"/>
                <c:pt idx="11" formatCode="\+0.00">
                  <c:v>54.817999999999998</c:v>
                </c:pt>
                <c:pt idx="12" formatCode="\+0.00">
                  <c:v>48.817999999999998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7F-45F3-BD9B-5820B8442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1982096"/>
        <c:axId val="-431999504"/>
      </c:scatterChart>
      <c:valAx>
        <c:axId val="-431982096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1999504"/>
        <c:crosses val="autoZero"/>
        <c:crossBetween val="midCat"/>
      </c:valAx>
      <c:valAx>
        <c:axId val="-431999504"/>
        <c:scaling>
          <c:orientation val="minMax"/>
          <c:min val="4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198209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CA_09!$J$10:$J$22</c:f>
              <c:numCache>
                <c:formatCode>General</c:formatCode>
                <c:ptCount val="13"/>
                <c:pt idx="0">
                  <c:v>9</c:v>
                </c:pt>
                <c:pt idx="1">
                  <c:v>12</c:v>
                </c:pt>
                <c:pt idx="2">
                  <c:v>16</c:v>
                </c:pt>
                <c:pt idx="3">
                  <c:v>12</c:v>
                </c:pt>
                <c:pt idx="4">
                  <c:v>24</c:v>
                </c:pt>
                <c:pt idx="5">
                  <c:v>35</c:v>
                </c:pt>
                <c:pt idx="6">
                  <c:v>38</c:v>
                </c:pt>
                <c:pt idx="7">
                  <c:v>59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CA_09!$K$10:$K$22</c:f>
              <c:numCache>
                <c:formatCode>\+0.00</c:formatCode>
                <c:ptCount val="13"/>
                <c:pt idx="0">
                  <c:v>56.796999999999997</c:v>
                </c:pt>
                <c:pt idx="1">
                  <c:v>55.796999999999997</c:v>
                </c:pt>
                <c:pt idx="2">
                  <c:v>54.796999999999997</c:v>
                </c:pt>
                <c:pt idx="3">
                  <c:v>53.796999999999997</c:v>
                </c:pt>
                <c:pt idx="4">
                  <c:v>52.796999999999997</c:v>
                </c:pt>
                <c:pt idx="5">
                  <c:v>51.796999999999997</c:v>
                </c:pt>
                <c:pt idx="6">
                  <c:v>50.796999999999997</c:v>
                </c:pt>
                <c:pt idx="7">
                  <c:v>49.796999999999997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6E-452B-9A38-B5DD3FDE03AB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CA_09!$J$10:$J$22</c:f>
              <c:numCache>
                <c:formatCode>General</c:formatCode>
                <c:ptCount val="13"/>
                <c:pt idx="0">
                  <c:v>9</c:v>
                </c:pt>
                <c:pt idx="1">
                  <c:v>12</c:v>
                </c:pt>
                <c:pt idx="2">
                  <c:v>16</c:v>
                </c:pt>
                <c:pt idx="3">
                  <c:v>12</c:v>
                </c:pt>
                <c:pt idx="4">
                  <c:v>24</c:v>
                </c:pt>
                <c:pt idx="5">
                  <c:v>35</c:v>
                </c:pt>
                <c:pt idx="6">
                  <c:v>38</c:v>
                </c:pt>
                <c:pt idx="7">
                  <c:v>59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CA_09!$L$10:$L$22</c:f>
              <c:numCache>
                <c:formatCode>General</c:formatCode>
                <c:ptCount val="13"/>
                <c:pt idx="11" formatCode="\+0.00">
                  <c:v>57.796999999999997</c:v>
                </c:pt>
                <c:pt idx="12" formatCode="\+0.00">
                  <c:v>49.796999999999997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6E-452B-9A38-B5DD3FDE0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1987536"/>
        <c:axId val="-431981552"/>
      </c:scatterChart>
      <c:valAx>
        <c:axId val="-431987536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431981552"/>
        <c:crosses val="autoZero"/>
        <c:crossBetween val="midCat"/>
      </c:valAx>
      <c:valAx>
        <c:axId val="-431981552"/>
        <c:scaling>
          <c:orientation val="minMax"/>
          <c:min val="4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-43198753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/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zoomScale="70" zoomScaleNormal="70" workbookViewId="0">
      <selection activeCell="E5" sqref="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1" spans="1:13" x14ac:dyDescent="0.25">
      <c r="A1" s="56" t="s">
        <v>37</v>
      </c>
    </row>
    <row r="2" spans="1:13" x14ac:dyDescent="0.25">
      <c r="B2" s="18" t="s">
        <v>1</v>
      </c>
      <c r="C2" s="13" t="s">
        <v>0</v>
      </c>
      <c r="D2" s="108" t="s">
        <v>19</v>
      </c>
      <c r="E2" s="109"/>
      <c r="F2" s="108" t="s">
        <v>3</v>
      </c>
      <c r="G2" s="109"/>
    </row>
    <row r="3" spans="1:13" ht="15.75" x14ac:dyDescent="0.25">
      <c r="B3" s="48"/>
      <c r="C3" s="28" t="s">
        <v>32</v>
      </c>
      <c r="D3" s="105" t="s">
        <v>68</v>
      </c>
      <c r="E3" s="107"/>
      <c r="F3" s="105" t="s">
        <v>63</v>
      </c>
      <c r="G3" s="107"/>
      <c r="K3" s="1" t="s">
        <v>30</v>
      </c>
    </row>
    <row r="4" spans="1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102" t="s">
        <v>7</v>
      </c>
      <c r="G4" s="104"/>
      <c r="K4" s="24" t="s">
        <v>20</v>
      </c>
      <c r="L4" s="25" t="s">
        <v>22</v>
      </c>
    </row>
    <row r="5" spans="1:13" ht="16.5" thickBot="1" x14ac:dyDescent="0.3">
      <c r="B5" s="28" t="s">
        <v>31</v>
      </c>
      <c r="C5" s="57">
        <v>555896404</v>
      </c>
      <c r="D5" s="57">
        <v>6203807965</v>
      </c>
      <c r="E5" s="57">
        <v>54437</v>
      </c>
      <c r="F5" s="105" t="s">
        <v>20</v>
      </c>
      <c r="G5" s="107"/>
      <c r="K5" s="23" t="s">
        <v>21</v>
      </c>
    </row>
    <row r="6" spans="1:13" x14ac:dyDescent="0.25">
      <c r="B6" s="30" t="s">
        <v>4</v>
      </c>
      <c r="C6" s="30" t="s">
        <v>5</v>
      </c>
      <c r="D6" s="30" t="s">
        <v>10</v>
      </c>
      <c r="E6" s="102" t="s">
        <v>6</v>
      </c>
      <c r="F6" s="103"/>
      <c r="G6" s="104"/>
      <c r="I6" s="35"/>
      <c r="J6" s="36"/>
      <c r="K6" s="36"/>
      <c r="L6" s="36"/>
      <c r="M6" s="37"/>
    </row>
    <row r="7" spans="1:13" ht="15.75" x14ac:dyDescent="0.25">
      <c r="B7" s="48" t="s">
        <v>20</v>
      </c>
      <c r="C7" s="58" t="s">
        <v>25</v>
      </c>
      <c r="D7" s="48">
        <v>20062017</v>
      </c>
      <c r="E7" s="105" t="s">
        <v>36</v>
      </c>
      <c r="F7" s="106"/>
      <c r="G7" s="107"/>
      <c r="I7" s="34"/>
      <c r="J7" s="8"/>
      <c r="K7" s="8"/>
      <c r="L7" s="8"/>
      <c r="M7" s="38"/>
    </row>
    <row r="8" spans="1:13" ht="30" x14ac:dyDescent="0.25">
      <c r="B8" s="31" t="s">
        <v>11</v>
      </c>
      <c r="C8" s="32"/>
      <c r="D8" s="102" t="s">
        <v>8</v>
      </c>
      <c r="E8" s="103"/>
      <c r="F8" s="103"/>
      <c r="G8" s="104"/>
      <c r="I8" s="39" t="s">
        <v>15</v>
      </c>
      <c r="J8" s="26">
        <f>+E5/1000</f>
        <v>54.436999999999998</v>
      </c>
      <c r="K8" s="8"/>
      <c r="L8" s="8"/>
      <c r="M8" s="38"/>
    </row>
    <row r="9" spans="1:13" ht="15.75" x14ac:dyDescent="0.25">
      <c r="B9" s="28" t="s">
        <v>9</v>
      </c>
      <c r="C9" s="33"/>
      <c r="D9" s="105" t="s">
        <v>39</v>
      </c>
      <c r="E9" s="106"/>
      <c r="F9" s="106"/>
      <c r="G9" s="107"/>
      <c r="I9" s="40" t="s">
        <v>12</v>
      </c>
      <c r="J9" s="2" t="s">
        <v>13</v>
      </c>
      <c r="K9" s="2" t="s">
        <v>14</v>
      </c>
      <c r="L9" s="8"/>
      <c r="M9" s="38"/>
    </row>
    <row r="10" spans="1:13" x14ac:dyDescent="0.25">
      <c r="B10" s="7"/>
      <c r="C10" s="5"/>
      <c r="D10" s="5"/>
      <c r="E10" s="5"/>
      <c r="F10" s="8"/>
      <c r="G10" s="4"/>
      <c r="I10" s="41">
        <v>1</v>
      </c>
      <c r="J10" s="19">
        <f>3+4</f>
        <v>7</v>
      </c>
      <c r="K10" s="20">
        <f>+$J$8-I10</f>
        <v>53.436999999999998</v>
      </c>
      <c r="L10" s="8"/>
      <c r="M10" s="38"/>
    </row>
    <row r="11" spans="1:13" ht="15.75" x14ac:dyDescent="0.25">
      <c r="B11" s="7"/>
      <c r="C11" s="3"/>
      <c r="D11" s="3"/>
      <c r="E11" s="3"/>
      <c r="F11" s="8"/>
      <c r="G11" s="6"/>
      <c r="I11" s="41">
        <v>2</v>
      </c>
      <c r="J11" s="19">
        <f>7+7</f>
        <v>14</v>
      </c>
      <c r="K11" s="20">
        <f t="shared" ref="K11:K14" si="0">+$J$8-I11</f>
        <v>52.436999999999998</v>
      </c>
      <c r="L11" s="8"/>
      <c r="M11" s="38"/>
    </row>
    <row r="12" spans="1:13" x14ac:dyDescent="0.25">
      <c r="B12" s="7"/>
      <c r="C12" s="8"/>
      <c r="D12" s="8"/>
      <c r="E12" s="8"/>
      <c r="F12" s="8"/>
      <c r="G12" s="9"/>
      <c r="I12" s="41">
        <v>3</v>
      </c>
      <c r="J12" s="19">
        <f>10+14</f>
        <v>24</v>
      </c>
      <c r="K12" s="20">
        <f t="shared" si="0"/>
        <v>51.436999999999998</v>
      </c>
      <c r="L12" s="8"/>
      <c r="M12" s="38"/>
    </row>
    <row r="13" spans="1:13" x14ac:dyDescent="0.25">
      <c r="B13" s="7"/>
      <c r="C13" s="8"/>
      <c r="D13" s="8"/>
      <c r="E13" s="8"/>
      <c r="F13" s="8"/>
      <c r="G13" s="9"/>
      <c r="I13" s="41">
        <v>4</v>
      </c>
      <c r="J13" s="19">
        <f>6+11</f>
        <v>17</v>
      </c>
      <c r="K13" s="20">
        <f t="shared" si="0"/>
        <v>50.436999999999998</v>
      </c>
      <c r="L13" s="8"/>
      <c r="M13" s="38"/>
    </row>
    <row r="14" spans="1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11+13</f>
        <v>24</v>
      </c>
      <c r="K14" s="20">
        <f t="shared" si="0"/>
        <v>49.436999999999998</v>
      </c>
      <c r="L14" s="8"/>
      <c r="M14" s="38"/>
    </row>
    <row r="15" spans="1:13" x14ac:dyDescent="0.25">
      <c r="B15" s="7"/>
      <c r="C15" s="8"/>
      <c r="D15" s="8"/>
      <c r="E15" s="50">
        <f>+I10</f>
        <v>1</v>
      </c>
      <c r="F15" s="50">
        <f>+J10</f>
        <v>7</v>
      </c>
      <c r="G15" s="51" t="s">
        <v>41</v>
      </c>
      <c r="I15" s="41">
        <v>6</v>
      </c>
      <c r="J15" s="19">
        <f>12+20</f>
        <v>32</v>
      </c>
      <c r="K15" s="20">
        <f t="shared" ref="K15:K18" si="1">+$J$8-I15</f>
        <v>48.436999999999998</v>
      </c>
      <c r="L15" s="8"/>
      <c r="M15" s="38"/>
    </row>
    <row r="16" spans="1:13" x14ac:dyDescent="0.25">
      <c r="B16" s="7"/>
      <c r="C16" s="8"/>
      <c r="D16" s="8"/>
      <c r="E16" s="50">
        <f t="shared" ref="E16:F19" si="2">+I11</f>
        <v>2</v>
      </c>
      <c r="F16" s="50">
        <f t="shared" si="2"/>
        <v>14</v>
      </c>
      <c r="G16" s="51" t="s">
        <v>41</v>
      </c>
      <c r="I16" s="41">
        <v>7</v>
      </c>
      <c r="J16" s="19">
        <f>16+17</f>
        <v>33</v>
      </c>
      <c r="K16" s="20">
        <f t="shared" si="1"/>
        <v>47.436999999999998</v>
      </c>
      <c r="L16" s="8"/>
      <c r="M16" s="38"/>
    </row>
    <row r="17" spans="2:13" x14ac:dyDescent="0.25">
      <c r="B17" s="7"/>
      <c r="C17" s="8"/>
      <c r="D17" s="8"/>
      <c r="E17" s="50">
        <f t="shared" si="2"/>
        <v>3</v>
      </c>
      <c r="F17" s="50">
        <f t="shared" si="2"/>
        <v>24</v>
      </c>
      <c r="G17" s="51" t="s">
        <v>58</v>
      </c>
      <c r="I17" s="41">
        <v>8</v>
      </c>
      <c r="J17" s="19">
        <f>18+23</f>
        <v>41</v>
      </c>
      <c r="K17" s="20">
        <f t="shared" si="1"/>
        <v>46.436999999999998</v>
      </c>
      <c r="L17" s="8"/>
      <c r="M17" s="38"/>
    </row>
    <row r="18" spans="2:13" x14ac:dyDescent="0.25">
      <c r="B18" s="7"/>
      <c r="C18" s="8"/>
      <c r="D18" s="8"/>
      <c r="E18" s="50">
        <f t="shared" si="2"/>
        <v>4</v>
      </c>
      <c r="F18" s="50">
        <f t="shared" si="2"/>
        <v>17</v>
      </c>
      <c r="G18" s="51" t="s">
        <v>59</v>
      </c>
      <c r="I18" s="41">
        <v>9</v>
      </c>
      <c r="J18" s="19">
        <f>23+28</f>
        <v>51</v>
      </c>
      <c r="K18" s="20">
        <f t="shared" si="1"/>
        <v>45.436999999999998</v>
      </c>
      <c r="L18" s="8"/>
      <c r="M18" s="38"/>
    </row>
    <row r="19" spans="2:13" x14ac:dyDescent="0.25">
      <c r="B19" s="7"/>
      <c r="C19" s="8"/>
      <c r="D19" s="8"/>
      <c r="E19" s="50">
        <f t="shared" si="2"/>
        <v>5</v>
      </c>
      <c r="F19" s="50">
        <f t="shared" si="2"/>
        <v>24</v>
      </c>
      <c r="G19" s="51" t="s">
        <v>59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ref="E20" si="3">+I15</f>
        <v>6</v>
      </c>
      <c r="F20" s="50">
        <f t="shared" ref="F20" si="4">+J15</f>
        <v>32</v>
      </c>
      <c r="G20" s="51" t="s">
        <v>60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ref="E21:F26" si="5">+I16</f>
        <v>7</v>
      </c>
      <c r="F21" s="50">
        <f t="shared" si="5"/>
        <v>33</v>
      </c>
      <c r="G21" s="51" t="s">
        <v>61</v>
      </c>
      <c r="I21" s="34"/>
      <c r="J21" s="14">
        <v>0</v>
      </c>
      <c r="K21" s="15"/>
      <c r="L21" s="21">
        <f>+J8</f>
        <v>54.436999999999998</v>
      </c>
      <c r="M21" s="42" t="s">
        <v>17</v>
      </c>
    </row>
    <row r="22" spans="2:13" x14ac:dyDescent="0.25">
      <c r="B22" s="7"/>
      <c r="C22" s="8"/>
      <c r="D22" s="8"/>
      <c r="E22" s="50">
        <f t="shared" si="5"/>
        <v>8</v>
      </c>
      <c r="F22" s="50">
        <f t="shared" si="5"/>
        <v>41</v>
      </c>
      <c r="G22" s="51" t="s">
        <v>62</v>
      </c>
      <c r="I22" s="34"/>
      <c r="J22" s="10">
        <v>0</v>
      </c>
      <c r="K22" s="11"/>
      <c r="L22" s="22">
        <f>+K18</f>
        <v>45.436999999999998</v>
      </c>
      <c r="M22" s="43" t="s">
        <v>18</v>
      </c>
    </row>
    <row r="23" spans="2:13" x14ac:dyDescent="0.25">
      <c r="B23" s="7"/>
      <c r="C23" s="8"/>
      <c r="D23" s="8"/>
      <c r="E23" s="50">
        <f t="shared" si="5"/>
        <v>9</v>
      </c>
      <c r="F23" s="50">
        <f t="shared" si="5"/>
        <v>51</v>
      </c>
      <c r="G23" s="51" t="s">
        <v>62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5"/>
        <v>0</v>
      </c>
      <c r="F24" s="50">
        <f t="shared" si="5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5"/>
        <v>0</v>
      </c>
      <c r="F25" s="50">
        <f t="shared" si="5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5"/>
        <v>0</v>
      </c>
      <c r="F26" s="50">
        <f t="shared" si="5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E15" sqref="E15:G20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108" t="s">
        <v>19</v>
      </c>
      <c r="E2" s="109"/>
      <c r="F2" s="108" t="s">
        <v>3</v>
      </c>
      <c r="G2" s="109"/>
    </row>
    <row r="3" spans="2:13" ht="15.75" x14ac:dyDescent="0.25">
      <c r="B3" s="54"/>
      <c r="C3" s="28" t="s">
        <v>32</v>
      </c>
      <c r="D3" s="105" t="s">
        <v>68</v>
      </c>
      <c r="E3" s="107"/>
      <c r="F3" s="105" t="s">
        <v>83</v>
      </c>
      <c r="G3" s="107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102" t="s">
        <v>7</v>
      </c>
      <c r="G4" s="104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555683749</v>
      </c>
      <c r="D5" s="57">
        <v>6205270004</v>
      </c>
      <c r="E5" s="57">
        <v>56972</v>
      </c>
      <c r="F5" s="105" t="s">
        <v>20</v>
      </c>
      <c r="G5" s="107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102" t="s">
        <v>6</v>
      </c>
      <c r="F6" s="103"/>
      <c r="G6" s="104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58" t="s">
        <v>25</v>
      </c>
      <c r="D7" s="54">
        <v>22062017</v>
      </c>
      <c r="E7" s="105" t="s">
        <v>36</v>
      </c>
      <c r="F7" s="106"/>
      <c r="G7" s="107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102" t="s">
        <v>8</v>
      </c>
      <c r="E8" s="103"/>
      <c r="F8" s="103"/>
      <c r="G8" s="104"/>
      <c r="I8" s="39" t="s">
        <v>15</v>
      </c>
      <c r="J8" s="26">
        <f>+E5/1000</f>
        <v>56.972000000000001</v>
      </c>
      <c r="K8" s="8"/>
      <c r="L8" s="8"/>
      <c r="M8" s="38"/>
    </row>
    <row r="9" spans="2:13" ht="15.75" x14ac:dyDescent="0.25">
      <c r="B9" s="28" t="s">
        <v>9</v>
      </c>
      <c r="C9" s="33"/>
      <c r="D9" s="105" t="s">
        <v>39</v>
      </c>
      <c r="E9" s="106"/>
      <c r="F9" s="106"/>
      <c r="G9" s="107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4+5</f>
        <v>9</v>
      </c>
      <c r="K10" s="20">
        <f>+$J$8-I10</f>
        <v>55.972000000000001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4+4</f>
        <v>8</v>
      </c>
      <c r="K11" s="20">
        <f t="shared" ref="K11:K15" si="0">+$J$8-I11</f>
        <v>54.972000000000001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5+6</f>
        <v>11</v>
      </c>
      <c r="K12" s="20">
        <f t="shared" si="0"/>
        <v>53.972000000000001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10+16</f>
        <v>26</v>
      </c>
      <c r="K13" s="20">
        <f t="shared" si="0"/>
        <v>52.972000000000001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20+22</f>
        <v>42</v>
      </c>
      <c r="K14" s="20">
        <f t="shared" si="0"/>
        <v>51.972000000000001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9</v>
      </c>
      <c r="G15" s="51" t="s">
        <v>41</v>
      </c>
      <c r="I15" s="41">
        <v>7</v>
      </c>
      <c r="J15" s="19">
        <f>25+28</f>
        <v>53</v>
      </c>
      <c r="K15" s="20">
        <f t="shared" si="0"/>
        <v>49.972000000000001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8</v>
      </c>
      <c r="G16" s="51" t="s">
        <v>45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11</v>
      </c>
      <c r="G17" s="51" t="s">
        <v>48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26</v>
      </c>
      <c r="G18" s="51" t="s">
        <v>53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42</v>
      </c>
      <c r="G19" s="51" t="s">
        <v>55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7</v>
      </c>
      <c r="F20" s="50">
        <f t="shared" si="1"/>
        <v>53</v>
      </c>
      <c r="G20" s="51" t="s">
        <v>57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56.972000000000001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+K15</f>
        <v>49.972000000000001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E5" sqref="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108" t="s">
        <v>19</v>
      </c>
      <c r="E2" s="109"/>
      <c r="F2" s="108" t="s">
        <v>3</v>
      </c>
      <c r="G2" s="109"/>
    </row>
    <row r="3" spans="2:13" ht="15.75" x14ac:dyDescent="0.25">
      <c r="B3" s="54"/>
      <c r="C3" s="28" t="s">
        <v>32</v>
      </c>
      <c r="D3" s="105" t="s">
        <v>68</v>
      </c>
      <c r="E3" s="107"/>
      <c r="F3" s="105" t="s">
        <v>84</v>
      </c>
      <c r="G3" s="107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102" t="s">
        <v>7</v>
      </c>
      <c r="G4" s="104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556570124</v>
      </c>
      <c r="D5" s="57">
        <v>6206920252</v>
      </c>
      <c r="E5" s="57">
        <v>59469</v>
      </c>
      <c r="F5" s="110" t="s">
        <v>20</v>
      </c>
      <c r="G5" s="111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102" t="s">
        <v>6</v>
      </c>
      <c r="F6" s="103"/>
      <c r="G6" s="104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49" t="s">
        <v>25</v>
      </c>
      <c r="D7" s="54">
        <v>22062017</v>
      </c>
      <c r="E7" s="105" t="s">
        <v>36</v>
      </c>
      <c r="F7" s="106"/>
      <c r="G7" s="107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102" t="s">
        <v>8</v>
      </c>
      <c r="E8" s="103"/>
      <c r="F8" s="103"/>
      <c r="G8" s="104"/>
      <c r="I8" s="39" t="s">
        <v>15</v>
      </c>
      <c r="J8" s="26">
        <f>+E5/1000</f>
        <v>59.469000000000001</v>
      </c>
      <c r="K8" s="8"/>
      <c r="L8" s="8"/>
      <c r="M8" s="38"/>
    </row>
    <row r="9" spans="2:13" ht="15.75" x14ac:dyDescent="0.25">
      <c r="B9" s="28" t="s">
        <v>9</v>
      </c>
      <c r="C9" s="33"/>
      <c r="D9" s="105" t="s">
        <v>39</v>
      </c>
      <c r="E9" s="106"/>
      <c r="F9" s="106"/>
      <c r="G9" s="107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6+7</f>
        <v>13</v>
      </c>
      <c r="K10" s="20">
        <f>+$J$8-I10</f>
        <v>58.469000000000001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4+5</f>
        <v>9</v>
      </c>
      <c r="K11" s="20">
        <f t="shared" ref="K11:K16" si="0">+$J$8-I11</f>
        <v>57.469000000000001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7+9</f>
        <v>16</v>
      </c>
      <c r="K12" s="20">
        <f t="shared" si="0"/>
        <v>56.469000000000001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8+11</f>
        <v>19</v>
      </c>
      <c r="K13" s="20">
        <f t="shared" si="0"/>
        <v>55.469000000000001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13+14</f>
        <v>27</v>
      </c>
      <c r="K14" s="20">
        <f t="shared" si="0"/>
        <v>54.469000000000001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13</v>
      </c>
      <c r="G15" s="51" t="s">
        <v>64</v>
      </c>
      <c r="I15" s="41">
        <v>6</v>
      </c>
      <c r="J15" s="19">
        <f>18+26</f>
        <v>44</v>
      </c>
      <c r="K15" s="20">
        <f t="shared" si="0"/>
        <v>53.469000000000001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9</v>
      </c>
      <c r="G16" s="51" t="s">
        <v>45</v>
      </c>
      <c r="I16" s="41">
        <v>7</v>
      </c>
      <c r="J16" s="19">
        <f>25+40</f>
        <v>65</v>
      </c>
      <c r="K16" s="20">
        <f t="shared" si="0"/>
        <v>52.469000000000001</v>
      </c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16</v>
      </c>
      <c r="G17" s="51" t="s">
        <v>46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19</v>
      </c>
      <c r="G18" s="51" t="s">
        <v>46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27</v>
      </c>
      <c r="G19" s="51" t="s">
        <v>45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44</v>
      </c>
      <c r="G20" s="51" t="s">
        <v>45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7</v>
      </c>
      <c r="F21" s="50">
        <f t="shared" si="1"/>
        <v>65</v>
      </c>
      <c r="G21" s="51" t="s">
        <v>46</v>
      </c>
      <c r="I21" s="34"/>
      <c r="J21" s="14">
        <v>0</v>
      </c>
      <c r="K21" s="15"/>
      <c r="L21" s="21">
        <f>+J8</f>
        <v>59.469000000000001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+K16</f>
        <v>52.469000000000001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opLeftCell="B1" zoomScale="70" zoomScaleNormal="70" workbookViewId="0">
      <selection activeCell="E5" sqref="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108" t="s">
        <v>19</v>
      </c>
      <c r="E2" s="109"/>
      <c r="F2" s="108" t="s">
        <v>3</v>
      </c>
      <c r="G2" s="109"/>
    </row>
    <row r="3" spans="2:13" ht="15.75" x14ac:dyDescent="0.25">
      <c r="B3" s="54"/>
      <c r="C3" s="28" t="s">
        <v>32</v>
      </c>
      <c r="D3" s="105" t="s">
        <v>68</v>
      </c>
      <c r="E3" s="107"/>
      <c r="F3" s="105" t="s">
        <v>85</v>
      </c>
      <c r="G3" s="107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102" t="s">
        <v>7</v>
      </c>
      <c r="G4" s="104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556602187</v>
      </c>
      <c r="D5" s="57">
        <v>6207012909</v>
      </c>
      <c r="E5" s="57">
        <v>57851</v>
      </c>
      <c r="F5" s="105" t="s">
        <v>20</v>
      </c>
      <c r="G5" s="107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102" t="s">
        <v>6</v>
      </c>
      <c r="F6" s="103"/>
      <c r="G6" s="104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58" t="s">
        <v>25</v>
      </c>
      <c r="D7" s="54">
        <v>22062017</v>
      </c>
      <c r="E7" s="105" t="s">
        <v>36</v>
      </c>
      <c r="F7" s="106"/>
      <c r="G7" s="107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102" t="s">
        <v>8</v>
      </c>
      <c r="E8" s="103"/>
      <c r="F8" s="103"/>
      <c r="G8" s="104"/>
      <c r="I8" s="39" t="s">
        <v>15</v>
      </c>
      <c r="J8" s="26">
        <f>+E5/1000</f>
        <v>57.850999999999999</v>
      </c>
      <c r="K8" s="8"/>
      <c r="L8" s="8"/>
      <c r="M8" s="38"/>
    </row>
    <row r="9" spans="2:13" ht="15.75" x14ac:dyDescent="0.25">
      <c r="B9" s="28" t="s">
        <v>9</v>
      </c>
      <c r="C9" s="33"/>
      <c r="D9" s="105" t="s">
        <v>39</v>
      </c>
      <c r="E9" s="106"/>
      <c r="F9" s="106"/>
      <c r="G9" s="107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3+4</f>
        <v>7</v>
      </c>
      <c r="K10" s="20">
        <f>+$J$8-I10</f>
        <v>56.850999999999999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6+8</f>
        <v>14</v>
      </c>
      <c r="K11" s="20">
        <f t="shared" ref="K11:K16" si="0">+$J$8-I11</f>
        <v>55.850999999999999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6+9</f>
        <v>15</v>
      </c>
      <c r="K12" s="20">
        <f t="shared" si="0"/>
        <v>54.850999999999999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12+12</f>
        <v>24</v>
      </c>
      <c r="K13" s="20">
        <f t="shared" si="0"/>
        <v>53.850999999999999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11+18</f>
        <v>29</v>
      </c>
      <c r="K14" s="20">
        <f t="shared" si="0"/>
        <v>52.850999999999999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7</v>
      </c>
      <c r="G15" s="51" t="s">
        <v>45</v>
      </c>
      <c r="I15" s="41">
        <v>6</v>
      </c>
      <c r="J15" s="19">
        <f>22+24</f>
        <v>46</v>
      </c>
      <c r="K15" s="20">
        <f t="shared" si="0"/>
        <v>51.850999999999999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14</v>
      </c>
      <c r="G16" s="51" t="s">
        <v>45</v>
      </c>
      <c r="I16" s="41">
        <v>7</v>
      </c>
      <c r="J16" s="19">
        <f>27+37</f>
        <v>64</v>
      </c>
      <c r="K16" s="20">
        <f t="shared" si="0"/>
        <v>50.850999999999999</v>
      </c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15</v>
      </c>
      <c r="G17" s="51" t="s">
        <v>59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24</v>
      </c>
      <c r="G18" s="51" t="s">
        <v>86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29</v>
      </c>
      <c r="G19" s="51" t="s">
        <v>87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46</v>
      </c>
      <c r="G20" s="51" t="s">
        <v>88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7</v>
      </c>
      <c r="F21" s="50">
        <f t="shared" si="1"/>
        <v>64</v>
      </c>
      <c r="G21" s="51" t="s">
        <v>89</v>
      </c>
      <c r="I21" s="34"/>
      <c r="J21" s="14">
        <v>0</v>
      </c>
      <c r="K21" s="15"/>
      <c r="L21" s="21">
        <f>+J8</f>
        <v>57.850999999999999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+K16</f>
        <v>50.850999999999999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pageSetup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E5" sqref="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108" t="s">
        <v>19</v>
      </c>
      <c r="E2" s="109"/>
      <c r="F2" s="108" t="s">
        <v>3</v>
      </c>
      <c r="G2" s="109"/>
    </row>
    <row r="3" spans="2:13" ht="15.75" x14ac:dyDescent="0.25">
      <c r="B3" s="54"/>
      <c r="C3" s="28" t="s">
        <v>32</v>
      </c>
      <c r="D3" s="105" t="s">
        <v>68</v>
      </c>
      <c r="E3" s="107"/>
      <c r="F3" s="105" t="s">
        <v>90</v>
      </c>
      <c r="G3" s="107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102" t="s">
        <v>7</v>
      </c>
      <c r="G4" s="104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556671792</v>
      </c>
      <c r="D5" s="57">
        <v>6207144050</v>
      </c>
      <c r="E5" s="57">
        <v>61103</v>
      </c>
      <c r="F5" s="105" t="s">
        <v>20</v>
      </c>
      <c r="G5" s="107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102" t="s">
        <v>6</v>
      </c>
      <c r="F6" s="103"/>
      <c r="G6" s="104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58" t="s">
        <v>25</v>
      </c>
      <c r="D7" s="54">
        <v>22062017</v>
      </c>
      <c r="E7" s="105" t="s">
        <v>36</v>
      </c>
      <c r="F7" s="106"/>
      <c r="G7" s="107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102" t="s">
        <v>8</v>
      </c>
      <c r="E8" s="103"/>
      <c r="F8" s="103"/>
      <c r="G8" s="104"/>
      <c r="I8" s="39" t="s">
        <v>15</v>
      </c>
      <c r="J8" s="26">
        <f>+E5/1000</f>
        <v>61.103000000000002</v>
      </c>
      <c r="K8" s="8"/>
      <c r="L8" s="8"/>
      <c r="M8" s="38"/>
    </row>
    <row r="9" spans="2:13" ht="15.75" x14ac:dyDescent="0.25">
      <c r="B9" s="28" t="s">
        <v>9</v>
      </c>
      <c r="C9" s="33"/>
      <c r="D9" s="105" t="s">
        <v>39</v>
      </c>
      <c r="E9" s="106"/>
      <c r="F9" s="106"/>
      <c r="G9" s="107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4+6</f>
        <v>10</v>
      </c>
      <c r="K10" s="20">
        <f>+$J$8-I10</f>
        <v>60.103000000000002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7+8</f>
        <v>15</v>
      </c>
      <c r="K11" s="20">
        <f t="shared" ref="K11:K17" si="0">+$J$8-I11</f>
        <v>59.103000000000002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6+7</f>
        <v>13</v>
      </c>
      <c r="K12" s="20">
        <f t="shared" si="0"/>
        <v>58.103000000000002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8+8</f>
        <v>16</v>
      </c>
      <c r="K13" s="20">
        <f t="shared" si="0"/>
        <v>57.103000000000002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10+12</f>
        <v>22</v>
      </c>
      <c r="K14" s="20">
        <f t="shared" si="0"/>
        <v>56.103000000000002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10</v>
      </c>
      <c r="G15" s="51" t="s">
        <v>41</v>
      </c>
      <c r="I15" s="41">
        <v>6</v>
      </c>
      <c r="J15" s="19">
        <f>13+18</f>
        <v>31</v>
      </c>
      <c r="K15" s="20">
        <f t="shared" si="0"/>
        <v>55.103000000000002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15</v>
      </c>
      <c r="G16" s="51" t="s">
        <v>41</v>
      </c>
      <c r="I16" s="41">
        <v>7</v>
      </c>
      <c r="J16" s="19">
        <f>19+26</f>
        <v>45</v>
      </c>
      <c r="K16" s="20">
        <f t="shared" si="0"/>
        <v>54.103000000000002</v>
      </c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13</v>
      </c>
      <c r="G17" s="51" t="s">
        <v>45</v>
      </c>
      <c r="I17" s="41">
        <v>8</v>
      </c>
      <c r="J17" s="19">
        <v>50</v>
      </c>
      <c r="K17" s="20">
        <f t="shared" si="0"/>
        <v>53.103000000000002</v>
      </c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16</v>
      </c>
      <c r="G18" s="51" t="s">
        <v>46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22</v>
      </c>
      <c r="G19" s="51" t="s">
        <v>47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31</v>
      </c>
      <c r="G20" s="51" t="s">
        <v>47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7</v>
      </c>
      <c r="F21" s="50">
        <f t="shared" si="1"/>
        <v>45</v>
      </c>
      <c r="G21" s="51" t="s">
        <v>45</v>
      </c>
      <c r="I21" s="34"/>
      <c r="J21" s="14">
        <v>0</v>
      </c>
      <c r="K21" s="15"/>
      <c r="L21" s="21">
        <f>+J8</f>
        <v>61.103000000000002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8</v>
      </c>
      <c r="F22" s="50">
        <f t="shared" si="1"/>
        <v>50</v>
      </c>
      <c r="G22" s="51" t="s">
        <v>43</v>
      </c>
      <c r="I22" s="34"/>
      <c r="J22" s="10">
        <v>0</v>
      </c>
      <c r="K22" s="11"/>
      <c r="L22" s="22">
        <f>+K17</f>
        <v>53.103000000000002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2:M31"/>
  <sheetViews>
    <sheetView zoomScale="70" zoomScaleNormal="70" workbookViewId="0">
      <selection activeCell="E15" sqref="E15:G2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108" t="s">
        <v>19</v>
      </c>
      <c r="E2" s="109"/>
      <c r="F2" s="108" t="s">
        <v>3</v>
      </c>
      <c r="G2" s="109"/>
    </row>
    <row r="3" spans="2:13" ht="15.75" x14ac:dyDescent="0.25">
      <c r="B3" s="54"/>
      <c r="C3" s="28" t="s">
        <v>32</v>
      </c>
      <c r="D3" s="105" t="s">
        <v>51</v>
      </c>
      <c r="E3" s="107"/>
      <c r="F3" s="105" t="s">
        <v>38</v>
      </c>
      <c r="G3" s="107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102" t="s">
        <v>7</v>
      </c>
      <c r="G4" s="104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6186855185</v>
      </c>
      <c r="D5" s="57">
        <v>558569226</v>
      </c>
      <c r="E5" s="57">
        <v>46401</v>
      </c>
      <c r="F5" s="105" t="s">
        <v>20</v>
      </c>
      <c r="G5" s="107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102" t="s">
        <v>6</v>
      </c>
      <c r="F6" s="103"/>
      <c r="G6" s="104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49" t="s">
        <v>25</v>
      </c>
      <c r="D7" s="54">
        <v>10062017</v>
      </c>
      <c r="E7" s="105" t="s">
        <v>36</v>
      </c>
      <c r="F7" s="106"/>
      <c r="G7" s="107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102" t="s">
        <v>8</v>
      </c>
      <c r="E8" s="103"/>
      <c r="F8" s="103"/>
      <c r="G8" s="104"/>
      <c r="I8" s="39" t="s">
        <v>15</v>
      </c>
      <c r="J8" s="26">
        <f>+E5/1000</f>
        <v>46.401000000000003</v>
      </c>
      <c r="K8" s="8"/>
      <c r="L8" s="8"/>
      <c r="M8" s="38"/>
    </row>
    <row r="9" spans="2:13" ht="15.75" x14ac:dyDescent="0.25">
      <c r="B9" s="28" t="s">
        <v>9</v>
      </c>
      <c r="C9" s="33"/>
      <c r="D9" s="105" t="s">
        <v>40</v>
      </c>
      <c r="E9" s="106"/>
      <c r="F9" s="106"/>
      <c r="G9" s="107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12+19</f>
        <v>31</v>
      </c>
      <c r="K10" s="20">
        <f>+$J$8-I10</f>
        <v>45.401000000000003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14+14</f>
        <v>28</v>
      </c>
      <c r="K11" s="20">
        <f t="shared" ref="K11:K20" si="0">+$J$8-I11</f>
        <v>44.401000000000003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14+17</f>
        <v>31</v>
      </c>
      <c r="K12" s="20">
        <f t="shared" si="0"/>
        <v>43.401000000000003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14+17</f>
        <v>31</v>
      </c>
      <c r="K13" s="20">
        <f t="shared" si="0"/>
        <v>42.401000000000003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18+15</f>
        <v>33</v>
      </c>
      <c r="K14" s="20">
        <f t="shared" si="0"/>
        <v>41.401000000000003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31</v>
      </c>
      <c r="G15" s="51" t="s">
        <v>41</v>
      </c>
      <c r="I15" s="41">
        <v>6</v>
      </c>
      <c r="J15" s="19">
        <f>22+27</f>
        <v>49</v>
      </c>
      <c r="K15" s="20">
        <f t="shared" si="0"/>
        <v>40.401000000000003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28</v>
      </c>
      <c r="G16" s="51" t="s">
        <v>44</v>
      </c>
      <c r="I16" s="41">
        <v>7</v>
      </c>
      <c r="J16" s="19">
        <f>15+17</f>
        <v>32</v>
      </c>
      <c r="K16" s="20">
        <f t="shared" si="0"/>
        <v>39.401000000000003</v>
      </c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31</v>
      </c>
      <c r="G17" s="51" t="s">
        <v>44</v>
      </c>
      <c r="I17" s="41">
        <v>8</v>
      </c>
      <c r="J17" s="19">
        <f>10+14</f>
        <v>24</v>
      </c>
      <c r="K17" s="20">
        <f t="shared" si="0"/>
        <v>38.401000000000003</v>
      </c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31</v>
      </c>
      <c r="G18" s="51" t="s">
        <v>43</v>
      </c>
      <c r="I18" s="41">
        <v>9</v>
      </c>
      <c r="J18" s="19">
        <f>27+42</f>
        <v>69</v>
      </c>
      <c r="K18" s="20">
        <f t="shared" si="0"/>
        <v>37.401000000000003</v>
      </c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33</v>
      </c>
      <c r="G19" s="51" t="s">
        <v>43</v>
      </c>
      <c r="I19" s="41">
        <v>10</v>
      </c>
      <c r="J19" s="19">
        <f>36+35</f>
        <v>71</v>
      </c>
      <c r="K19" s="20">
        <f t="shared" si="0"/>
        <v>36.401000000000003</v>
      </c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49</v>
      </c>
      <c r="G20" s="51" t="s">
        <v>52</v>
      </c>
      <c r="I20" s="41">
        <v>11</v>
      </c>
      <c r="J20" s="19">
        <f>34+43</f>
        <v>77</v>
      </c>
      <c r="K20" s="20">
        <f t="shared" si="0"/>
        <v>35.401000000000003</v>
      </c>
      <c r="L20" s="8"/>
      <c r="M20" s="38"/>
    </row>
    <row r="21" spans="2:13" x14ac:dyDescent="0.25">
      <c r="B21" s="7"/>
      <c r="C21" s="8"/>
      <c r="D21" s="8"/>
      <c r="E21" s="50">
        <f t="shared" si="1"/>
        <v>7</v>
      </c>
      <c r="F21" s="50">
        <f t="shared" si="1"/>
        <v>32</v>
      </c>
      <c r="G21" s="51" t="s">
        <v>52</v>
      </c>
      <c r="I21" s="34"/>
      <c r="J21" s="14">
        <v>0</v>
      </c>
      <c r="K21" s="15"/>
      <c r="L21" s="21">
        <f>+J8</f>
        <v>46.401000000000003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8</v>
      </c>
      <c r="F22" s="50">
        <f t="shared" si="1"/>
        <v>24</v>
      </c>
      <c r="G22" s="51" t="s">
        <v>55</v>
      </c>
      <c r="I22" s="34"/>
      <c r="J22" s="10">
        <v>0</v>
      </c>
      <c r="K22" s="11"/>
      <c r="L22" s="22">
        <f>+K20</f>
        <v>35.401000000000003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9</v>
      </c>
      <c r="F23" s="50">
        <f t="shared" si="1"/>
        <v>69</v>
      </c>
      <c r="G23" s="51" t="s">
        <v>47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10</v>
      </c>
      <c r="F24" s="50">
        <f t="shared" si="1"/>
        <v>71</v>
      </c>
      <c r="G24" s="51" t="s">
        <v>47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11</v>
      </c>
      <c r="F25" s="50">
        <f t="shared" si="1"/>
        <v>77</v>
      </c>
      <c r="G25" s="51" t="s">
        <v>47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opLeftCell="B1" zoomScale="69" zoomScaleNormal="69" workbookViewId="0">
      <selection activeCell="E5" sqref="E5"/>
    </sheetView>
  </sheetViews>
  <sheetFormatPr baseColWidth="10" defaultColWidth="8.796875" defaultRowHeight="15" x14ac:dyDescent="0.25"/>
  <cols>
    <col min="1" max="1" width="3.09765625" style="70" customWidth="1"/>
    <col min="2" max="5" width="12.69921875" style="70" customWidth="1"/>
    <col min="6" max="6" width="8.69921875" style="70" customWidth="1"/>
    <col min="7" max="7" width="4.69921875" style="70" customWidth="1"/>
    <col min="8" max="8" width="8.796875" style="70"/>
    <col min="9" max="9" width="12.3984375" style="70" customWidth="1"/>
    <col min="10" max="12" width="8.796875" style="70"/>
    <col min="13" max="13" width="10.69921875" style="70" bestFit="1" customWidth="1"/>
    <col min="14" max="16384" width="8.796875" style="70"/>
  </cols>
  <sheetData>
    <row r="2" spans="2:13" x14ac:dyDescent="0.25">
      <c r="B2" s="68" t="s">
        <v>1</v>
      </c>
      <c r="C2" s="13" t="s">
        <v>0</v>
      </c>
      <c r="D2" s="108" t="s">
        <v>19</v>
      </c>
      <c r="E2" s="109"/>
      <c r="F2" s="108" t="s">
        <v>3</v>
      </c>
      <c r="G2" s="109"/>
    </row>
    <row r="3" spans="2:13" ht="15.75" x14ac:dyDescent="0.25">
      <c r="B3" s="67"/>
      <c r="C3" s="28" t="s">
        <v>32</v>
      </c>
      <c r="D3" s="105" t="s">
        <v>68</v>
      </c>
      <c r="E3" s="107"/>
      <c r="F3" s="105" t="s">
        <v>92</v>
      </c>
      <c r="G3" s="107"/>
      <c r="K3" s="70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102" t="s">
        <v>7</v>
      </c>
      <c r="G4" s="104"/>
      <c r="K4" s="24" t="s">
        <v>20</v>
      </c>
      <c r="L4" s="71" t="s">
        <v>22</v>
      </c>
    </row>
    <row r="5" spans="2:13" ht="16.5" thickBot="1" x14ac:dyDescent="0.3">
      <c r="B5" s="28" t="s">
        <v>31</v>
      </c>
      <c r="C5" s="57">
        <v>556769532</v>
      </c>
      <c r="D5" s="57">
        <v>6207265357</v>
      </c>
      <c r="E5" s="57">
        <v>65715</v>
      </c>
      <c r="F5" s="105" t="s">
        <v>20</v>
      </c>
      <c r="G5" s="107"/>
      <c r="K5" s="72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102" t="s">
        <v>6</v>
      </c>
      <c r="F6" s="103"/>
      <c r="G6" s="104"/>
      <c r="I6" s="73"/>
      <c r="J6" s="74"/>
      <c r="K6" s="74"/>
      <c r="L6" s="74"/>
      <c r="M6" s="75"/>
    </row>
    <row r="7" spans="2:13" ht="15.75" x14ac:dyDescent="0.25">
      <c r="B7" s="67" t="s">
        <v>20</v>
      </c>
      <c r="C7" s="69" t="s">
        <v>25</v>
      </c>
      <c r="D7" s="67">
        <v>23062017</v>
      </c>
      <c r="E7" s="105" t="s">
        <v>36</v>
      </c>
      <c r="F7" s="106"/>
      <c r="G7" s="107"/>
      <c r="I7" s="76"/>
      <c r="J7" s="77"/>
      <c r="K7" s="77"/>
      <c r="L7" s="77"/>
      <c r="M7" s="78"/>
    </row>
    <row r="8" spans="2:13" ht="30" x14ac:dyDescent="0.25">
      <c r="B8" s="65" t="s">
        <v>11</v>
      </c>
      <c r="C8" s="66"/>
      <c r="D8" s="102" t="s">
        <v>8</v>
      </c>
      <c r="E8" s="103"/>
      <c r="F8" s="103"/>
      <c r="G8" s="104"/>
      <c r="I8" s="79" t="s">
        <v>15</v>
      </c>
      <c r="J8" s="26">
        <f>+E5/1000</f>
        <v>65.715000000000003</v>
      </c>
      <c r="K8" s="77"/>
      <c r="L8" s="77"/>
      <c r="M8" s="78"/>
    </row>
    <row r="9" spans="2:13" ht="15.75" x14ac:dyDescent="0.25">
      <c r="B9" s="28" t="s">
        <v>9</v>
      </c>
      <c r="C9" s="33"/>
      <c r="D9" s="105" t="s">
        <v>39</v>
      </c>
      <c r="E9" s="106"/>
      <c r="F9" s="106"/>
      <c r="G9" s="107"/>
      <c r="I9" s="80" t="s">
        <v>12</v>
      </c>
      <c r="J9" s="81" t="s">
        <v>13</v>
      </c>
      <c r="K9" s="81" t="s">
        <v>14</v>
      </c>
      <c r="L9" s="77"/>
      <c r="M9" s="78"/>
    </row>
    <row r="10" spans="2:13" x14ac:dyDescent="0.25">
      <c r="B10" s="82"/>
      <c r="C10" s="5"/>
      <c r="D10" s="5"/>
      <c r="E10" s="5"/>
      <c r="F10" s="77"/>
      <c r="G10" s="4"/>
      <c r="I10" s="41">
        <v>1</v>
      </c>
      <c r="J10" s="19">
        <f>4+5</f>
        <v>9</v>
      </c>
      <c r="K10" s="83">
        <f>+$J$8-I10</f>
        <v>64.715000000000003</v>
      </c>
      <c r="L10" s="77"/>
      <c r="M10" s="78"/>
    </row>
    <row r="11" spans="2:13" ht="15.75" x14ac:dyDescent="0.25">
      <c r="B11" s="82"/>
      <c r="C11" s="3"/>
      <c r="D11" s="3"/>
      <c r="E11" s="3"/>
      <c r="F11" s="77"/>
      <c r="G11" s="6"/>
      <c r="I11" s="41">
        <v>2</v>
      </c>
      <c r="J11" s="19">
        <f>6+10</f>
        <v>16</v>
      </c>
      <c r="K11" s="83">
        <f t="shared" ref="K11:K18" si="0">+$J$8-I11</f>
        <v>63.715000000000003</v>
      </c>
      <c r="L11" s="77"/>
      <c r="M11" s="78"/>
    </row>
    <row r="12" spans="2:13" x14ac:dyDescent="0.25">
      <c r="B12" s="82"/>
      <c r="C12" s="77"/>
      <c r="D12" s="77"/>
      <c r="E12" s="77"/>
      <c r="F12" s="77"/>
      <c r="G12" s="84"/>
      <c r="I12" s="41">
        <v>3</v>
      </c>
      <c r="J12" s="19">
        <f>9+12</f>
        <v>21</v>
      </c>
      <c r="K12" s="83">
        <f t="shared" si="0"/>
        <v>62.715000000000003</v>
      </c>
      <c r="L12" s="77"/>
      <c r="M12" s="78"/>
    </row>
    <row r="13" spans="2:13" x14ac:dyDescent="0.25">
      <c r="B13" s="82"/>
      <c r="C13" s="77"/>
      <c r="D13" s="77"/>
      <c r="E13" s="77"/>
      <c r="F13" s="77"/>
      <c r="G13" s="84"/>
      <c r="I13" s="41">
        <v>4</v>
      </c>
      <c r="J13" s="19">
        <f>8+11</f>
        <v>19</v>
      </c>
      <c r="K13" s="83">
        <f t="shared" si="0"/>
        <v>61.715000000000003</v>
      </c>
      <c r="L13" s="77"/>
      <c r="M13" s="78"/>
    </row>
    <row r="14" spans="2:13" x14ac:dyDescent="0.25">
      <c r="B14" s="82"/>
      <c r="C14" s="77"/>
      <c r="D14" s="77"/>
      <c r="E14" s="85" t="s">
        <v>24</v>
      </c>
      <c r="F14" s="86" t="s">
        <v>23</v>
      </c>
      <c r="G14" s="87" t="s">
        <v>16</v>
      </c>
      <c r="I14" s="41">
        <v>5</v>
      </c>
      <c r="J14" s="19">
        <f>13+18</f>
        <v>31</v>
      </c>
      <c r="K14" s="83">
        <f t="shared" si="0"/>
        <v>60.715000000000003</v>
      </c>
      <c r="L14" s="77"/>
      <c r="M14" s="78"/>
    </row>
    <row r="15" spans="2:13" x14ac:dyDescent="0.25">
      <c r="B15" s="82"/>
      <c r="C15" s="77"/>
      <c r="D15" s="77"/>
      <c r="E15" s="50">
        <f>+I10</f>
        <v>1</v>
      </c>
      <c r="F15" s="50">
        <f>+J10</f>
        <v>9</v>
      </c>
      <c r="G15" s="51" t="s">
        <v>46</v>
      </c>
      <c r="I15" s="41">
        <v>6</v>
      </c>
      <c r="J15" s="19">
        <f>18+23</f>
        <v>41</v>
      </c>
      <c r="K15" s="83">
        <f t="shared" si="0"/>
        <v>59.715000000000003</v>
      </c>
      <c r="L15" s="77"/>
      <c r="M15" s="78"/>
    </row>
    <row r="16" spans="2:13" x14ac:dyDescent="0.25">
      <c r="B16" s="82"/>
      <c r="C16" s="77"/>
      <c r="D16" s="77"/>
      <c r="E16" s="50">
        <f t="shared" ref="E16:F26" si="1">+I11</f>
        <v>2</v>
      </c>
      <c r="F16" s="50">
        <f t="shared" si="1"/>
        <v>16</v>
      </c>
      <c r="G16" s="51" t="s">
        <v>47</v>
      </c>
      <c r="I16" s="41">
        <v>7</v>
      </c>
      <c r="J16" s="19">
        <f>17+20</f>
        <v>37</v>
      </c>
      <c r="K16" s="83">
        <f t="shared" si="0"/>
        <v>58.715000000000003</v>
      </c>
      <c r="L16" s="77"/>
      <c r="M16" s="78"/>
    </row>
    <row r="17" spans="2:13" x14ac:dyDescent="0.25">
      <c r="B17" s="82"/>
      <c r="C17" s="77"/>
      <c r="D17" s="77"/>
      <c r="E17" s="50">
        <f t="shared" si="1"/>
        <v>3</v>
      </c>
      <c r="F17" s="50">
        <f t="shared" si="1"/>
        <v>21</v>
      </c>
      <c r="G17" s="51" t="s">
        <v>64</v>
      </c>
      <c r="I17" s="41">
        <v>8</v>
      </c>
      <c r="J17" s="19">
        <f>22+21</f>
        <v>43</v>
      </c>
      <c r="K17" s="83">
        <f t="shared" si="0"/>
        <v>57.715000000000003</v>
      </c>
      <c r="L17" s="77"/>
      <c r="M17" s="78"/>
    </row>
    <row r="18" spans="2:13" x14ac:dyDescent="0.25">
      <c r="B18" s="82"/>
      <c r="C18" s="77"/>
      <c r="D18" s="77"/>
      <c r="E18" s="50">
        <f t="shared" si="1"/>
        <v>4</v>
      </c>
      <c r="F18" s="50">
        <f t="shared" si="1"/>
        <v>19</v>
      </c>
      <c r="G18" s="51" t="s">
        <v>45</v>
      </c>
      <c r="I18" s="41">
        <v>9</v>
      </c>
      <c r="J18" s="19">
        <f>25+31</f>
        <v>56</v>
      </c>
      <c r="K18" s="83">
        <f t="shared" si="0"/>
        <v>56.715000000000003</v>
      </c>
      <c r="L18" s="77"/>
      <c r="M18" s="78"/>
    </row>
    <row r="19" spans="2:13" x14ac:dyDescent="0.25">
      <c r="B19" s="82"/>
      <c r="C19" s="77"/>
      <c r="D19" s="77"/>
      <c r="E19" s="50">
        <f t="shared" si="1"/>
        <v>5</v>
      </c>
      <c r="F19" s="50">
        <f t="shared" si="1"/>
        <v>31</v>
      </c>
      <c r="G19" s="51" t="s">
        <v>46</v>
      </c>
      <c r="I19" s="41"/>
      <c r="J19" s="19"/>
      <c r="K19" s="83"/>
      <c r="L19" s="77"/>
      <c r="M19" s="78"/>
    </row>
    <row r="20" spans="2:13" x14ac:dyDescent="0.25">
      <c r="B20" s="82"/>
      <c r="C20" s="77"/>
      <c r="D20" s="77"/>
      <c r="E20" s="50">
        <f t="shared" si="1"/>
        <v>6</v>
      </c>
      <c r="F20" s="50">
        <f t="shared" si="1"/>
        <v>41</v>
      </c>
      <c r="G20" s="51" t="s">
        <v>46</v>
      </c>
      <c r="I20" s="41"/>
      <c r="J20" s="19"/>
      <c r="K20" s="83"/>
      <c r="L20" s="77"/>
      <c r="M20" s="78"/>
    </row>
    <row r="21" spans="2:13" x14ac:dyDescent="0.25">
      <c r="B21" s="82"/>
      <c r="C21" s="77"/>
      <c r="D21" s="77"/>
      <c r="E21" s="50">
        <f t="shared" si="1"/>
        <v>7</v>
      </c>
      <c r="F21" s="50">
        <f t="shared" si="1"/>
        <v>37</v>
      </c>
      <c r="G21" s="51" t="s">
        <v>47</v>
      </c>
      <c r="I21" s="76"/>
      <c r="J21" s="88">
        <v>0</v>
      </c>
      <c r="K21" s="89"/>
      <c r="L21" s="90">
        <f>+J8</f>
        <v>65.715000000000003</v>
      </c>
      <c r="M21" s="91" t="s">
        <v>17</v>
      </c>
    </row>
    <row r="22" spans="2:13" x14ac:dyDescent="0.25">
      <c r="B22" s="82"/>
      <c r="C22" s="77"/>
      <c r="D22" s="77"/>
      <c r="E22" s="50">
        <f t="shared" si="1"/>
        <v>8</v>
      </c>
      <c r="F22" s="50">
        <f t="shared" si="1"/>
        <v>43</v>
      </c>
      <c r="G22" s="51" t="s">
        <v>72</v>
      </c>
      <c r="I22" s="76"/>
      <c r="J22" s="92">
        <v>0</v>
      </c>
      <c r="K22" s="93"/>
      <c r="L22" s="94">
        <f>+K18</f>
        <v>56.715000000000003</v>
      </c>
      <c r="M22" s="95" t="s">
        <v>18</v>
      </c>
    </row>
    <row r="23" spans="2:13" x14ac:dyDescent="0.25">
      <c r="B23" s="82"/>
      <c r="C23" s="77"/>
      <c r="D23" s="77"/>
      <c r="E23" s="50">
        <f t="shared" si="1"/>
        <v>9</v>
      </c>
      <c r="F23" s="50">
        <f t="shared" si="1"/>
        <v>56</v>
      </c>
      <c r="G23" s="51" t="s">
        <v>72</v>
      </c>
      <c r="I23" s="76"/>
      <c r="J23" s="77"/>
      <c r="K23" s="77"/>
      <c r="L23" s="96"/>
      <c r="M23" s="97"/>
    </row>
    <row r="24" spans="2:13" x14ac:dyDescent="0.25">
      <c r="B24" s="82"/>
      <c r="C24" s="77"/>
      <c r="D24" s="77"/>
      <c r="E24" s="50">
        <f t="shared" si="1"/>
        <v>0</v>
      </c>
      <c r="F24" s="50">
        <f t="shared" si="1"/>
        <v>0</v>
      </c>
      <c r="G24" s="51" t="s">
        <v>20</v>
      </c>
      <c r="I24" s="76"/>
      <c r="J24" s="77"/>
      <c r="K24" s="77"/>
      <c r="L24" s="77"/>
      <c r="M24" s="97"/>
    </row>
    <row r="25" spans="2:13" x14ac:dyDescent="0.25">
      <c r="B25" s="82"/>
      <c r="C25" s="77"/>
      <c r="D25" s="77"/>
      <c r="E25" s="50">
        <f t="shared" si="1"/>
        <v>0</v>
      </c>
      <c r="F25" s="50">
        <f t="shared" si="1"/>
        <v>0</v>
      </c>
      <c r="G25" s="51" t="s">
        <v>20</v>
      </c>
      <c r="I25" s="76" t="s">
        <v>28</v>
      </c>
      <c r="J25" s="77"/>
      <c r="K25" s="77"/>
      <c r="L25" s="77"/>
      <c r="M25" s="78"/>
    </row>
    <row r="26" spans="2:13" ht="15.75" thickBot="1" x14ac:dyDescent="0.3">
      <c r="B26" s="82"/>
      <c r="C26" s="77"/>
      <c r="D26" s="77"/>
      <c r="E26" s="50">
        <f t="shared" si="1"/>
        <v>0</v>
      </c>
      <c r="F26" s="50">
        <f t="shared" si="1"/>
        <v>0</v>
      </c>
      <c r="G26" s="51" t="s">
        <v>20</v>
      </c>
      <c r="I26" s="98"/>
      <c r="J26" s="99"/>
      <c r="K26" s="99"/>
      <c r="L26" s="99"/>
      <c r="M26" s="100"/>
    </row>
    <row r="27" spans="2:13" x14ac:dyDescent="0.25">
      <c r="B27" s="82"/>
      <c r="C27" s="77"/>
      <c r="D27" s="77"/>
      <c r="E27" s="77"/>
      <c r="F27" s="77"/>
      <c r="G27" s="84"/>
    </row>
    <row r="28" spans="2:13" x14ac:dyDescent="0.25">
      <c r="B28" s="92"/>
      <c r="C28" s="93"/>
      <c r="D28" s="93"/>
      <c r="E28" s="93"/>
      <c r="F28" s="93"/>
      <c r="G28" s="87"/>
      <c r="J28" s="70" t="s">
        <v>29</v>
      </c>
    </row>
    <row r="30" spans="2:13" x14ac:dyDescent="0.25">
      <c r="B30" s="70" t="s">
        <v>26</v>
      </c>
    </row>
    <row r="31" spans="2:13" x14ac:dyDescent="0.25">
      <c r="B31" s="70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E5" sqref="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108" t="s">
        <v>19</v>
      </c>
      <c r="E2" s="109"/>
      <c r="F2" s="108" t="s">
        <v>3</v>
      </c>
      <c r="G2" s="109"/>
    </row>
    <row r="3" spans="2:13" ht="15.75" x14ac:dyDescent="0.25">
      <c r="B3" s="54"/>
      <c r="C3" s="28" t="s">
        <v>32</v>
      </c>
      <c r="D3" s="105" t="s">
        <v>68</v>
      </c>
      <c r="E3" s="107"/>
      <c r="F3" s="105" t="s">
        <v>91</v>
      </c>
      <c r="G3" s="107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102" t="s">
        <v>7</v>
      </c>
      <c r="G4" s="104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556909843</v>
      </c>
      <c r="D5" s="57">
        <v>6207402399</v>
      </c>
      <c r="E5" s="57">
        <v>67966</v>
      </c>
      <c r="F5" s="105" t="s">
        <v>20</v>
      </c>
      <c r="G5" s="107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102" t="s">
        <v>6</v>
      </c>
      <c r="F6" s="103"/>
      <c r="G6" s="104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49" t="s">
        <v>25</v>
      </c>
      <c r="D7" s="54">
        <v>23062017</v>
      </c>
      <c r="E7" s="105" t="s">
        <v>36</v>
      </c>
      <c r="F7" s="106"/>
      <c r="G7" s="107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102" t="s">
        <v>8</v>
      </c>
      <c r="E8" s="103"/>
      <c r="F8" s="103"/>
      <c r="G8" s="104"/>
      <c r="I8" s="39" t="s">
        <v>15</v>
      </c>
      <c r="J8" s="26">
        <f>+E5/1000</f>
        <v>67.965999999999994</v>
      </c>
      <c r="K8" s="8"/>
      <c r="L8" s="8"/>
      <c r="M8" s="38"/>
    </row>
    <row r="9" spans="2:13" ht="15.75" x14ac:dyDescent="0.25">
      <c r="B9" s="28" t="s">
        <v>9</v>
      </c>
      <c r="C9" s="33"/>
      <c r="D9" s="105" t="s">
        <v>39</v>
      </c>
      <c r="E9" s="106"/>
      <c r="F9" s="106"/>
      <c r="G9" s="107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6+6</f>
        <v>12</v>
      </c>
      <c r="K10" s="20">
        <f>+$J$8-I10</f>
        <v>66.965999999999994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6+8</f>
        <v>14</v>
      </c>
      <c r="K11" s="20">
        <f t="shared" ref="K11:K17" si="0">+$J$8-I11</f>
        <v>65.965999999999994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5+6</f>
        <v>11</v>
      </c>
      <c r="K12" s="20">
        <f t="shared" si="0"/>
        <v>64.965999999999994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8+13</f>
        <v>21</v>
      </c>
      <c r="K13" s="20">
        <f t="shared" si="0"/>
        <v>63.965999999999994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7+10</f>
        <v>17</v>
      </c>
      <c r="K14" s="20">
        <f t="shared" si="0"/>
        <v>62.965999999999994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12</v>
      </c>
      <c r="G15" s="51" t="s">
        <v>41</v>
      </c>
      <c r="I15" s="41">
        <v>6</v>
      </c>
      <c r="J15" s="19">
        <f>11+13</f>
        <v>24</v>
      </c>
      <c r="K15" s="20">
        <f t="shared" si="0"/>
        <v>61.965999999999994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14</v>
      </c>
      <c r="G16" s="51" t="s">
        <v>45</v>
      </c>
      <c r="I16" s="41">
        <v>6.5</v>
      </c>
      <c r="J16" s="19">
        <f>20+22</f>
        <v>42</v>
      </c>
      <c r="K16" s="20">
        <f t="shared" si="0"/>
        <v>61.465999999999994</v>
      </c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11</v>
      </c>
      <c r="G17" s="51" t="s">
        <v>41</v>
      </c>
      <c r="I17" s="41">
        <v>7</v>
      </c>
      <c r="J17" s="19">
        <f>26+29</f>
        <v>55</v>
      </c>
      <c r="K17" s="20">
        <f t="shared" si="0"/>
        <v>60.965999999999994</v>
      </c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21</v>
      </c>
      <c r="G18" s="51" t="s">
        <v>48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17</v>
      </c>
      <c r="G19" s="51" t="s">
        <v>93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24</v>
      </c>
      <c r="G20" s="51" t="s">
        <v>47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6.5</v>
      </c>
      <c r="F21" s="50">
        <f t="shared" si="1"/>
        <v>42</v>
      </c>
      <c r="G21" s="51" t="s">
        <v>47</v>
      </c>
      <c r="I21" s="34"/>
      <c r="J21" s="14">
        <v>0</v>
      </c>
      <c r="K21" s="15"/>
      <c r="L21" s="21">
        <f>+J8</f>
        <v>67.965999999999994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7</v>
      </c>
      <c r="F22" s="50">
        <f t="shared" si="1"/>
        <v>55</v>
      </c>
      <c r="G22" s="51" t="s">
        <v>47</v>
      </c>
      <c r="I22" s="34"/>
      <c r="J22" s="10">
        <v>0</v>
      </c>
      <c r="K22" s="11"/>
      <c r="L22" s="22">
        <f>+K17</f>
        <v>60.965999999999994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E5" sqref="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.89843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108" t="s">
        <v>19</v>
      </c>
      <c r="E2" s="109"/>
      <c r="F2" s="108" t="s">
        <v>3</v>
      </c>
      <c r="G2" s="109"/>
    </row>
    <row r="3" spans="2:13" ht="15.75" x14ac:dyDescent="0.25">
      <c r="B3" s="54"/>
      <c r="C3" s="28" t="s">
        <v>32</v>
      </c>
      <c r="D3" s="105" t="s">
        <v>68</v>
      </c>
      <c r="E3" s="107"/>
      <c r="F3" s="105" t="s">
        <v>94</v>
      </c>
      <c r="G3" s="107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102" t="s">
        <v>7</v>
      </c>
      <c r="G4" s="104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557053710</v>
      </c>
      <c r="D5" s="57">
        <v>6207542579</v>
      </c>
      <c r="E5" s="57">
        <v>62231</v>
      </c>
      <c r="F5" s="105" t="s">
        <v>20</v>
      </c>
      <c r="G5" s="107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102" t="s">
        <v>6</v>
      </c>
      <c r="F6" s="103"/>
      <c r="G6" s="104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49" t="s">
        <v>25</v>
      </c>
      <c r="D7" s="54">
        <v>23062017</v>
      </c>
      <c r="E7" s="105" t="s">
        <v>36</v>
      </c>
      <c r="F7" s="106"/>
      <c r="G7" s="107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102" t="s">
        <v>8</v>
      </c>
      <c r="E8" s="103"/>
      <c r="F8" s="103"/>
      <c r="G8" s="104"/>
      <c r="I8" s="39" t="s">
        <v>15</v>
      </c>
      <c r="J8" s="26">
        <f>+E5/1000</f>
        <v>62.231000000000002</v>
      </c>
      <c r="K8" s="8"/>
      <c r="L8" s="8"/>
      <c r="M8" s="38"/>
    </row>
    <row r="9" spans="2:13" ht="15.75" x14ac:dyDescent="0.25">
      <c r="B9" s="28" t="s">
        <v>9</v>
      </c>
      <c r="C9" s="33"/>
      <c r="D9" s="105" t="s">
        <v>39</v>
      </c>
      <c r="E9" s="106"/>
      <c r="F9" s="106"/>
      <c r="G9" s="107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3+3</f>
        <v>6</v>
      </c>
      <c r="K10" s="20">
        <f>+$J$8-I10</f>
        <v>61.231000000000002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4+5</f>
        <v>9</v>
      </c>
      <c r="K11" s="20">
        <f t="shared" ref="K11:K18" si="0">+$J$8-I11</f>
        <v>60.231000000000002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5+6</f>
        <v>11</v>
      </c>
      <c r="K12" s="20">
        <f t="shared" si="0"/>
        <v>59.231000000000002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8+13</f>
        <v>21</v>
      </c>
      <c r="K13" s="20">
        <f t="shared" si="0"/>
        <v>58.231000000000002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11+15</f>
        <v>26</v>
      </c>
      <c r="K14" s="20">
        <f t="shared" si="0"/>
        <v>57.231000000000002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6</v>
      </c>
      <c r="G15" s="51" t="s">
        <v>106</v>
      </c>
      <c r="I15" s="41">
        <v>6</v>
      </c>
      <c r="J15" s="19">
        <f>15+21</f>
        <v>36</v>
      </c>
      <c r="K15" s="20">
        <f t="shared" si="0"/>
        <v>56.231000000000002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9</v>
      </c>
      <c r="G16" s="51" t="s">
        <v>47</v>
      </c>
      <c r="I16" s="41">
        <v>7</v>
      </c>
      <c r="J16" s="19">
        <f>17+22</f>
        <v>39</v>
      </c>
      <c r="K16" s="20">
        <f t="shared" si="0"/>
        <v>55.231000000000002</v>
      </c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11</v>
      </c>
      <c r="G17" s="51" t="s">
        <v>47</v>
      </c>
      <c r="I17" s="41">
        <v>8</v>
      </c>
      <c r="J17" s="19">
        <f>19+26</f>
        <v>45</v>
      </c>
      <c r="K17" s="20">
        <f t="shared" si="0"/>
        <v>54.231000000000002</v>
      </c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21</v>
      </c>
      <c r="G18" s="51" t="s">
        <v>42</v>
      </c>
      <c r="I18" s="41">
        <v>9</v>
      </c>
      <c r="J18" s="19">
        <f>24+28</f>
        <v>52</v>
      </c>
      <c r="K18" s="20">
        <f t="shared" si="0"/>
        <v>53.231000000000002</v>
      </c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26</v>
      </c>
      <c r="G19" s="51" t="s">
        <v>42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36</v>
      </c>
      <c r="G20" s="51" t="s">
        <v>46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7</v>
      </c>
      <c r="F21" s="50">
        <f t="shared" si="1"/>
        <v>39</v>
      </c>
      <c r="G21" s="51" t="s">
        <v>46</v>
      </c>
      <c r="I21" s="34"/>
      <c r="J21" s="14">
        <v>0</v>
      </c>
      <c r="K21" s="15"/>
      <c r="L21" s="21">
        <f>+J8</f>
        <v>62.231000000000002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8</v>
      </c>
      <c r="F22" s="50">
        <f t="shared" si="1"/>
        <v>45</v>
      </c>
      <c r="G22" s="51" t="s">
        <v>47</v>
      </c>
      <c r="I22" s="34"/>
      <c r="J22" s="10">
        <v>0</v>
      </c>
      <c r="K22" s="11"/>
      <c r="L22" s="22">
        <f>+K18</f>
        <v>53.231000000000002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9</v>
      </c>
      <c r="F23" s="50">
        <f t="shared" si="1"/>
        <v>52</v>
      </c>
      <c r="G23" s="51" t="s">
        <v>47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E5" sqref="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108" t="s">
        <v>19</v>
      </c>
      <c r="E2" s="109"/>
      <c r="F2" s="108" t="s">
        <v>3</v>
      </c>
      <c r="G2" s="109"/>
    </row>
    <row r="3" spans="2:13" ht="15.75" x14ac:dyDescent="0.25">
      <c r="B3" s="54"/>
      <c r="C3" s="28" t="s">
        <v>32</v>
      </c>
      <c r="D3" s="105" t="s">
        <v>68</v>
      </c>
      <c r="E3" s="107"/>
      <c r="F3" s="105" t="s">
        <v>95</v>
      </c>
      <c r="G3" s="107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102" t="s">
        <v>7</v>
      </c>
      <c r="G4" s="104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557197937</v>
      </c>
      <c r="D5" s="57">
        <v>6207683129</v>
      </c>
      <c r="E5" s="57">
        <v>63205</v>
      </c>
      <c r="F5" s="105" t="s">
        <v>20</v>
      </c>
      <c r="G5" s="107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102" t="s">
        <v>6</v>
      </c>
      <c r="F6" s="103"/>
      <c r="G6" s="104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49" t="s">
        <v>25</v>
      </c>
      <c r="D7" s="54">
        <v>23062017</v>
      </c>
      <c r="E7" s="105" t="s">
        <v>36</v>
      </c>
      <c r="F7" s="106"/>
      <c r="G7" s="107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102" t="s">
        <v>8</v>
      </c>
      <c r="E8" s="103"/>
      <c r="F8" s="103"/>
      <c r="G8" s="104"/>
      <c r="I8" s="39" t="s">
        <v>15</v>
      </c>
      <c r="J8" s="26">
        <f>+E5/1000</f>
        <v>63.204999999999998</v>
      </c>
      <c r="K8" s="8"/>
      <c r="L8" s="8"/>
      <c r="M8" s="38"/>
    </row>
    <row r="9" spans="2:13" ht="15.75" x14ac:dyDescent="0.25">
      <c r="B9" s="28" t="s">
        <v>9</v>
      </c>
      <c r="C9" s="33"/>
      <c r="D9" s="105" t="s">
        <v>39</v>
      </c>
      <c r="E9" s="106"/>
      <c r="F9" s="106"/>
      <c r="G9" s="107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5+6</f>
        <v>11</v>
      </c>
      <c r="K10" s="20">
        <f>+$J$8-I10</f>
        <v>62.204999999999998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5+7</f>
        <v>12</v>
      </c>
      <c r="K11" s="20">
        <f t="shared" ref="K11:K17" si="0">+$J$8-I11</f>
        <v>61.204999999999998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8+12</f>
        <v>20</v>
      </c>
      <c r="K12" s="20">
        <f t="shared" si="0"/>
        <v>60.204999999999998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9+8</f>
        <v>17</v>
      </c>
      <c r="K13" s="20">
        <f t="shared" si="0"/>
        <v>59.204999999999998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6+8</f>
        <v>14</v>
      </c>
      <c r="K14" s="20">
        <f t="shared" si="0"/>
        <v>58.204999999999998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11</v>
      </c>
      <c r="G15" s="51" t="s">
        <v>46</v>
      </c>
      <c r="I15" s="41">
        <v>6</v>
      </c>
      <c r="J15" s="19">
        <f>7+9</f>
        <v>16</v>
      </c>
      <c r="K15" s="20">
        <f t="shared" si="0"/>
        <v>57.204999999999998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12</v>
      </c>
      <c r="G16" s="51" t="s">
        <v>46</v>
      </c>
      <c r="I16" s="41">
        <v>7</v>
      </c>
      <c r="J16" s="19">
        <f>13+19</f>
        <v>32</v>
      </c>
      <c r="K16" s="20">
        <f t="shared" si="0"/>
        <v>56.204999999999998</v>
      </c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20</v>
      </c>
      <c r="G17" s="51" t="s">
        <v>47</v>
      </c>
      <c r="I17" s="41">
        <v>8</v>
      </c>
      <c r="J17" s="19">
        <f>21+31</f>
        <v>52</v>
      </c>
      <c r="K17" s="20">
        <f t="shared" si="0"/>
        <v>55.204999999999998</v>
      </c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17</v>
      </c>
      <c r="G18" s="51" t="s">
        <v>46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14</v>
      </c>
      <c r="G19" s="51" t="s">
        <v>45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16</v>
      </c>
      <c r="G20" s="51" t="s">
        <v>45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7</v>
      </c>
      <c r="F21" s="50">
        <f t="shared" si="1"/>
        <v>32</v>
      </c>
      <c r="G21" s="51" t="s">
        <v>47</v>
      </c>
      <c r="I21" s="34"/>
      <c r="J21" s="14">
        <v>0</v>
      </c>
      <c r="K21" s="15"/>
      <c r="L21" s="21">
        <f>+J8</f>
        <v>63.204999999999998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8</v>
      </c>
      <c r="F22" s="50">
        <f t="shared" si="1"/>
        <v>52</v>
      </c>
      <c r="G22" s="51" t="s">
        <v>47</v>
      </c>
      <c r="I22" s="34"/>
      <c r="J22" s="10">
        <v>0</v>
      </c>
      <c r="K22" s="11"/>
      <c r="L22" s="22">
        <f>+K17</f>
        <v>55.204999999999998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opLeftCell="A6" zoomScale="86" zoomScaleNormal="86" workbookViewId="0">
      <selection activeCell="E5" sqref="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2" t="s">
        <v>1</v>
      </c>
      <c r="C2" s="13" t="s">
        <v>0</v>
      </c>
      <c r="D2" s="108" t="s">
        <v>19</v>
      </c>
      <c r="E2" s="109"/>
      <c r="F2" s="108" t="s">
        <v>3</v>
      </c>
      <c r="G2" s="109"/>
    </row>
    <row r="3" spans="2:13" ht="15.75" x14ac:dyDescent="0.25">
      <c r="B3" s="61"/>
      <c r="C3" s="28" t="s">
        <v>32</v>
      </c>
      <c r="D3" s="105" t="s">
        <v>68</v>
      </c>
      <c r="E3" s="107"/>
      <c r="F3" s="105" t="s">
        <v>96</v>
      </c>
      <c r="G3" s="107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102" t="s">
        <v>7</v>
      </c>
      <c r="G4" s="104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557342533</v>
      </c>
      <c r="D5" s="57">
        <v>6207824087</v>
      </c>
      <c r="E5" s="57">
        <v>64797</v>
      </c>
      <c r="F5" s="105" t="s">
        <v>20</v>
      </c>
      <c r="G5" s="107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102" t="s">
        <v>6</v>
      </c>
      <c r="F6" s="103"/>
      <c r="G6" s="104"/>
      <c r="I6" s="35"/>
      <c r="J6" s="36"/>
      <c r="K6" s="36"/>
      <c r="L6" s="36"/>
      <c r="M6" s="37"/>
    </row>
    <row r="7" spans="2:13" ht="15.75" x14ac:dyDescent="0.25">
      <c r="B7" s="61" t="s">
        <v>20</v>
      </c>
      <c r="C7" s="58" t="s">
        <v>25</v>
      </c>
      <c r="D7" s="61">
        <v>23062017</v>
      </c>
      <c r="E7" s="105" t="s">
        <v>36</v>
      </c>
      <c r="F7" s="106"/>
      <c r="G7" s="107"/>
      <c r="I7" s="34"/>
      <c r="J7" s="8"/>
      <c r="K7" s="8"/>
      <c r="L7" s="8"/>
      <c r="M7" s="38"/>
    </row>
    <row r="8" spans="2:13" x14ac:dyDescent="0.25">
      <c r="B8" s="59" t="s">
        <v>11</v>
      </c>
      <c r="C8" s="60"/>
      <c r="D8" s="102" t="s">
        <v>8</v>
      </c>
      <c r="E8" s="103"/>
      <c r="F8" s="103"/>
      <c r="G8" s="104"/>
      <c r="I8" s="39" t="s">
        <v>15</v>
      </c>
      <c r="J8" s="26">
        <f>+E5/1000</f>
        <v>64.796999999999997</v>
      </c>
      <c r="K8" s="8"/>
      <c r="L8" s="8"/>
      <c r="M8" s="38"/>
    </row>
    <row r="9" spans="2:13" ht="15.75" x14ac:dyDescent="0.25">
      <c r="B9" s="28" t="s">
        <v>9</v>
      </c>
      <c r="C9" s="33"/>
      <c r="D9" s="105" t="s">
        <v>39</v>
      </c>
      <c r="E9" s="106"/>
      <c r="F9" s="106"/>
      <c r="G9" s="107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4+5</f>
        <v>9</v>
      </c>
      <c r="K10" s="20">
        <f>+$J$8-I10</f>
        <v>63.796999999999997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5+6</f>
        <v>11</v>
      </c>
      <c r="K11" s="20">
        <f t="shared" ref="K11:K18" si="0">+$J$8-I11</f>
        <v>62.796999999999997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7+10</f>
        <v>17</v>
      </c>
      <c r="K12" s="20">
        <f t="shared" si="0"/>
        <v>61.796999999999997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9+14</f>
        <v>23</v>
      </c>
      <c r="K13" s="20">
        <f t="shared" si="0"/>
        <v>60.796999999999997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6</v>
      </c>
      <c r="J14" s="19">
        <f>9+12</f>
        <v>21</v>
      </c>
      <c r="K14" s="20">
        <f t="shared" si="0"/>
        <v>58.796999999999997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9</v>
      </c>
      <c r="G15" s="51" t="s">
        <v>41</v>
      </c>
      <c r="I15" s="41">
        <v>7</v>
      </c>
      <c r="J15" s="19">
        <f>11+13</f>
        <v>24</v>
      </c>
      <c r="K15" s="20">
        <f t="shared" si="0"/>
        <v>57.796999999999997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11</v>
      </c>
      <c r="G16" s="51" t="s">
        <v>41</v>
      </c>
      <c r="I16" s="41">
        <v>8</v>
      </c>
      <c r="J16" s="19">
        <f>12+13</f>
        <v>25</v>
      </c>
      <c r="K16" s="20">
        <f t="shared" si="0"/>
        <v>56.796999999999997</v>
      </c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17</v>
      </c>
      <c r="G17" s="51" t="s">
        <v>46</v>
      </c>
      <c r="I17" s="41">
        <v>9</v>
      </c>
      <c r="J17" s="19">
        <f>12+17</f>
        <v>29</v>
      </c>
      <c r="K17" s="20">
        <f t="shared" si="0"/>
        <v>55.796999999999997</v>
      </c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23</v>
      </c>
      <c r="G18" s="51" t="s">
        <v>47</v>
      </c>
      <c r="I18" s="41">
        <v>10</v>
      </c>
      <c r="J18" s="19">
        <f>16+26</f>
        <v>42</v>
      </c>
      <c r="K18" s="20">
        <f t="shared" si="0"/>
        <v>54.796999999999997</v>
      </c>
      <c r="L18" s="8"/>
      <c r="M18" s="38"/>
    </row>
    <row r="19" spans="2:13" x14ac:dyDescent="0.25">
      <c r="B19" s="7"/>
      <c r="C19" s="8"/>
      <c r="D19" s="8"/>
      <c r="E19" s="50">
        <f t="shared" si="1"/>
        <v>6</v>
      </c>
      <c r="F19" s="50">
        <f t="shared" si="1"/>
        <v>21</v>
      </c>
      <c r="G19" s="51" t="s">
        <v>47</v>
      </c>
      <c r="I19" s="10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7</v>
      </c>
      <c r="F20" s="50">
        <f t="shared" si="1"/>
        <v>24</v>
      </c>
      <c r="G20" s="51" t="s">
        <v>47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8</v>
      </c>
      <c r="F21" s="50">
        <f t="shared" si="1"/>
        <v>25</v>
      </c>
      <c r="G21" s="51" t="s">
        <v>55</v>
      </c>
      <c r="I21" s="34"/>
      <c r="J21" s="14">
        <v>0</v>
      </c>
      <c r="K21" s="15"/>
      <c r="L21" s="21">
        <f>+J8</f>
        <v>64.796999999999997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9</v>
      </c>
      <c r="F22" s="50">
        <f t="shared" si="1"/>
        <v>29</v>
      </c>
      <c r="G22" s="51" t="s">
        <v>55</v>
      </c>
      <c r="I22" s="34"/>
      <c r="J22" s="10">
        <v>0</v>
      </c>
      <c r="K22" s="11"/>
      <c r="L22" s="22">
        <f>+K18</f>
        <v>54.796999999999997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10</v>
      </c>
      <c r="F23" s="50">
        <f t="shared" si="1"/>
        <v>42</v>
      </c>
      <c r="G23" s="51" t="s">
        <v>55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E5" sqref="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108" t="s">
        <v>19</v>
      </c>
      <c r="E2" s="109"/>
      <c r="F2" s="108" t="s">
        <v>3</v>
      </c>
      <c r="G2" s="109"/>
    </row>
    <row r="3" spans="2:13" ht="15.75" x14ac:dyDescent="0.25">
      <c r="B3" s="54"/>
      <c r="C3" s="28" t="s">
        <v>32</v>
      </c>
      <c r="D3" s="105" t="s">
        <v>68</v>
      </c>
      <c r="E3" s="107"/>
      <c r="F3" s="105" t="s">
        <v>67</v>
      </c>
      <c r="G3" s="107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102" t="s">
        <v>7</v>
      </c>
      <c r="G4" s="104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555883661</v>
      </c>
      <c r="D5" s="57">
        <v>6203953565</v>
      </c>
      <c r="E5" s="57">
        <v>55997</v>
      </c>
      <c r="F5" s="105" t="s">
        <v>20</v>
      </c>
      <c r="G5" s="107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102" t="s">
        <v>6</v>
      </c>
      <c r="F6" s="103"/>
      <c r="G6" s="104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58" t="s">
        <v>25</v>
      </c>
      <c r="D7" s="54">
        <v>21062017</v>
      </c>
      <c r="E7" s="105" t="s">
        <v>36</v>
      </c>
      <c r="F7" s="106"/>
      <c r="G7" s="107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102" t="s">
        <v>8</v>
      </c>
      <c r="E8" s="103"/>
      <c r="F8" s="103"/>
      <c r="G8" s="104"/>
      <c r="I8" s="39" t="s">
        <v>15</v>
      </c>
      <c r="J8" s="26">
        <f>+E5/1000</f>
        <v>55.997</v>
      </c>
      <c r="K8" s="8"/>
      <c r="L8" s="8"/>
      <c r="M8" s="38"/>
    </row>
    <row r="9" spans="2:13" ht="15.75" x14ac:dyDescent="0.25">
      <c r="B9" s="28" t="s">
        <v>9</v>
      </c>
      <c r="C9" s="33"/>
      <c r="D9" s="105" t="s">
        <v>39</v>
      </c>
      <c r="E9" s="106"/>
      <c r="F9" s="106"/>
      <c r="G9" s="107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6+7</f>
        <v>13</v>
      </c>
      <c r="K10" s="20">
        <f>+$J$8-I10</f>
        <v>54.997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5+7</f>
        <v>12</v>
      </c>
      <c r="K11" s="20">
        <f t="shared" ref="K11:K17" si="0">+$J$8-I11</f>
        <v>53.997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9+10</f>
        <v>19</v>
      </c>
      <c r="K12" s="20">
        <f t="shared" si="0"/>
        <v>52.997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14+16</f>
        <v>30</v>
      </c>
      <c r="K13" s="20">
        <f t="shared" si="0"/>
        <v>51.997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17+19</f>
        <v>36</v>
      </c>
      <c r="K14" s="20">
        <f t="shared" si="0"/>
        <v>50.997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13</v>
      </c>
      <c r="G15" s="51" t="s">
        <v>41</v>
      </c>
      <c r="I15" s="41">
        <v>6</v>
      </c>
      <c r="J15" s="19">
        <f>16+20</f>
        <v>36</v>
      </c>
      <c r="K15" s="20">
        <f t="shared" si="0"/>
        <v>49.997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12</v>
      </c>
      <c r="G16" s="51" t="s">
        <v>41</v>
      </c>
      <c r="I16" s="41">
        <v>7</v>
      </c>
      <c r="J16" s="19">
        <f>18+24</f>
        <v>42</v>
      </c>
      <c r="K16" s="20">
        <f t="shared" si="0"/>
        <v>48.997</v>
      </c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19</v>
      </c>
      <c r="G17" s="51" t="s">
        <v>64</v>
      </c>
      <c r="I17" s="41">
        <v>8</v>
      </c>
      <c r="J17" s="19">
        <f>24+33</f>
        <v>57</v>
      </c>
      <c r="K17" s="20">
        <f t="shared" si="0"/>
        <v>47.997</v>
      </c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30</v>
      </c>
      <c r="G18" s="51" t="s">
        <v>64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36</v>
      </c>
      <c r="G19" s="51" t="s">
        <v>54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36</v>
      </c>
      <c r="G20" s="51" t="s">
        <v>54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7</v>
      </c>
      <c r="F21" s="50">
        <f t="shared" si="1"/>
        <v>42</v>
      </c>
      <c r="G21" s="51" t="s">
        <v>49</v>
      </c>
      <c r="I21" s="34"/>
      <c r="J21" s="14">
        <v>0</v>
      </c>
      <c r="K21" s="15"/>
      <c r="L21" s="21">
        <f>+J8</f>
        <v>55.997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8</v>
      </c>
      <c r="F22" s="50">
        <f t="shared" si="1"/>
        <v>57</v>
      </c>
      <c r="G22" s="51" t="s">
        <v>65</v>
      </c>
      <c r="I22" s="34"/>
      <c r="J22" s="10">
        <v>0</v>
      </c>
      <c r="K22" s="11"/>
      <c r="L22" s="22">
        <f>+K17</f>
        <v>47.997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pageSetup orientation="portrait" horizontalDpi="30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opLeftCell="A5" zoomScale="78" zoomScaleNormal="78" workbookViewId="0">
      <selection activeCell="E5" sqref="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2" t="s">
        <v>1</v>
      </c>
      <c r="C2" s="13" t="s">
        <v>0</v>
      </c>
      <c r="D2" s="108" t="s">
        <v>19</v>
      </c>
      <c r="E2" s="109"/>
      <c r="F2" s="108" t="s">
        <v>3</v>
      </c>
      <c r="G2" s="109"/>
    </row>
    <row r="3" spans="2:13" ht="15.75" x14ac:dyDescent="0.25">
      <c r="B3" s="61"/>
      <c r="C3" s="28" t="s">
        <v>32</v>
      </c>
      <c r="D3" s="105" t="s">
        <v>68</v>
      </c>
      <c r="E3" s="107"/>
      <c r="F3" s="105" t="s">
        <v>97</v>
      </c>
      <c r="G3" s="107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102" t="s">
        <v>7</v>
      </c>
      <c r="G4" s="104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557482215</v>
      </c>
      <c r="D5" s="57">
        <v>6207960574</v>
      </c>
      <c r="E5" s="57">
        <v>65401</v>
      </c>
      <c r="F5" s="105" t="s">
        <v>20</v>
      </c>
      <c r="G5" s="107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102" t="s">
        <v>6</v>
      </c>
      <c r="F6" s="103"/>
      <c r="G6" s="104"/>
      <c r="I6" s="35"/>
      <c r="J6" s="36"/>
      <c r="K6" s="36"/>
      <c r="L6" s="36"/>
      <c r="M6" s="37"/>
    </row>
    <row r="7" spans="2:13" ht="15.75" x14ac:dyDescent="0.25">
      <c r="B7" s="61" t="s">
        <v>20</v>
      </c>
      <c r="C7" s="58" t="s">
        <v>25</v>
      </c>
      <c r="D7" s="61">
        <v>24062017</v>
      </c>
      <c r="E7" s="105" t="s">
        <v>36</v>
      </c>
      <c r="F7" s="106"/>
      <c r="G7" s="107"/>
      <c r="I7" s="34"/>
      <c r="J7" s="8"/>
      <c r="K7" s="8"/>
      <c r="L7" s="8"/>
      <c r="M7" s="38"/>
    </row>
    <row r="8" spans="2:13" ht="30" x14ac:dyDescent="0.25">
      <c r="B8" s="59" t="s">
        <v>11</v>
      </c>
      <c r="C8" s="60"/>
      <c r="D8" s="102" t="s">
        <v>8</v>
      </c>
      <c r="E8" s="103"/>
      <c r="F8" s="103"/>
      <c r="G8" s="104"/>
      <c r="I8" s="39" t="s">
        <v>15</v>
      </c>
      <c r="J8" s="26">
        <f>+E5/1000</f>
        <v>65.400999999999996</v>
      </c>
      <c r="K8" s="8"/>
      <c r="L8" s="8"/>
      <c r="M8" s="38"/>
    </row>
    <row r="9" spans="2:13" ht="15.75" x14ac:dyDescent="0.25">
      <c r="B9" s="28" t="s">
        <v>9</v>
      </c>
      <c r="C9" s="33"/>
      <c r="D9" s="105" t="s">
        <v>39</v>
      </c>
      <c r="E9" s="106"/>
      <c r="F9" s="106"/>
      <c r="G9" s="107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4+5</f>
        <v>9</v>
      </c>
      <c r="K10" s="20">
        <f>+$J$8-I10</f>
        <v>64.400999999999996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6+9</f>
        <v>15</v>
      </c>
      <c r="K11" s="20">
        <f t="shared" ref="K11:K19" si="0">+$J$8-I11</f>
        <v>63.400999999999996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7+11</f>
        <v>18</v>
      </c>
      <c r="K12" s="20">
        <f t="shared" si="0"/>
        <v>62.400999999999996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8+13</f>
        <v>21</v>
      </c>
      <c r="K13" s="20">
        <f t="shared" si="0"/>
        <v>61.400999999999996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10+14</f>
        <v>24</v>
      </c>
      <c r="K14" s="20">
        <f t="shared" si="0"/>
        <v>60.400999999999996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9</v>
      </c>
      <c r="G15" s="51" t="s">
        <v>47</v>
      </c>
      <c r="I15" s="41">
        <v>6</v>
      </c>
      <c r="J15" s="19">
        <f>11+14</f>
        <v>25</v>
      </c>
      <c r="K15" s="20">
        <f t="shared" si="0"/>
        <v>59.400999999999996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15</v>
      </c>
      <c r="G16" s="51" t="s">
        <v>45</v>
      </c>
      <c r="I16" s="41">
        <v>7</v>
      </c>
      <c r="J16" s="19">
        <f>13+17</f>
        <v>30</v>
      </c>
      <c r="K16" s="20">
        <f t="shared" si="0"/>
        <v>58.400999999999996</v>
      </c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18</v>
      </c>
      <c r="G17" s="51" t="s">
        <v>45</v>
      </c>
      <c r="I17" s="41">
        <v>8</v>
      </c>
      <c r="J17" s="19">
        <f>16+21</f>
        <v>37</v>
      </c>
      <c r="K17" s="20">
        <f t="shared" si="0"/>
        <v>57.400999999999996</v>
      </c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21</v>
      </c>
      <c r="G18" s="51" t="s">
        <v>45</v>
      </c>
      <c r="I18" s="41">
        <v>9</v>
      </c>
      <c r="J18" s="19">
        <f>18+23</f>
        <v>41</v>
      </c>
      <c r="K18" s="20">
        <f t="shared" si="0"/>
        <v>56.400999999999996</v>
      </c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24</v>
      </c>
      <c r="G19" s="51" t="s">
        <v>72</v>
      </c>
      <c r="I19" s="41">
        <v>10</v>
      </c>
      <c r="J19" s="19">
        <f>19+26</f>
        <v>45</v>
      </c>
      <c r="K19" s="20">
        <f t="shared" si="0"/>
        <v>55.400999999999996</v>
      </c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25</v>
      </c>
      <c r="G20" s="51" t="s">
        <v>72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7</v>
      </c>
      <c r="F21" s="50">
        <f t="shared" si="1"/>
        <v>30</v>
      </c>
      <c r="G21" s="51" t="s">
        <v>45</v>
      </c>
      <c r="I21" s="34"/>
      <c r="J21" s="14">
        <v>0</v>
      </c>
      <c r="K21" s="15"/>
      <c r="L21" s="21">
        <f>+J8</f>
        <v>65.400999999999996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8</v>
      </c>
      <c r="F22" s="50">
        <f t="shared" si="1"/>
        <v>37</v>
      </c>
      <c r="G22" s="51" t="s">
        <v>46</v>
      </c>
      <c r="I22" s="34"/>
      <c r="J22" s="10">
        <v>0</v>
      </c>
      <c r="K22" s="11"/>
      <c r="L22" s="22">
        <f>+K19</f>
        <v>55.400999999999996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9</v>
      </c>
      <c r="F23" s="50">
        <f t="shared" si="1"/>
        <v>41</v>
      </c>
      <c r="G23" s="51" t="s">
        <v>46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10</v>
      </c>
      <c r="F24" s="50">
        <f t="shared" si="1"/>
        <v>45</v>
      </c>
      <c r="G24" s="51" t="s">
        <v>46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3" zoomScaleNormal="73" workbookViewId="0">
      <selection activeCell="E5" sqref="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2" t="s">
        <v>1</v>
      </c>
      <c r="C2" s="13" t="s">
        <v>0</v>
      </c>
      <c r="D2" s="108" t="s">
        <v>19</v>
      </c>
      <c r="E2" s="109"/>
      <c r="F2" s="108" t="s">
        <v>3</v>
      </c>
      <c r="G2" s="109"/>
    </row>
    <row r="3" spans="2:13" ht="15.75" x14ac:dyDescent="0.25">
      <c r="B3" s="61"/>
      <c r="C3" s="28" t="s">
        <v>32</v>
      </c>
      <c r="D3" s="105" t="s">
        <v>68</v>
      </c>
      <c r="E3" s="107"/>
      <c r="F3" s="105" t="s">
        <v>98</v>
      </c>
      <c r="G3" s="107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102" t="s">
        <v>7</v>
      </c>
      <c r="G4" s="104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557630468</v>
      </c>
      <c r="D5" s="57">
        <v>6208103933</v>
      </c>
      <c r="E5" s="57">
        <v>63819</v>
      </c>
      <c r="F5" s="105" t="s">
        <v>20</v>
      </c>
      <c r="G5" s="107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102" t="s">
        <v>6</v>
      </c>
      <c r="F6" s="103"/>
      <c r="G6" s="104"/>
      <c r="I6" s="35"/>
      <c r="J6" s="36"/>
      <c r="K6" s="36"/>
      <c r="L6" s="36"/>
      <c r="M6" s="37"/>
    </row>
    <row r="7" spans="2:13" ht="15.75" x14ac:dyDescent="0.25">
      <c r="B7" s="61" t="s">
        <v>20</v>
      </c>
      <c r="C7" s="58" t="s">
        <v>25</v>
      </c>
      <c r="D7" s="61">
        <v>24062017</v>
      </c>
      <c r="E7" s="105" t="s">
        <v>36</v>
      </c>
      <c r="F7" s="106"/>
      <c r="G7" s="107"/>
      <c r="I7" s="34"/>
      <c r="J7" s="8"/>
      <c r="K7" s="8"/>
      <c r="L7" s="8"/>
      <c r="M7" s="38"/>
    </row>
    <row r="8" spans="2:13" ht="30" x14ac:dyDescent="0.25">
      <c r="B8" s="59" t="s">
        <v>11</v>
      </c>
      <c r="C8" s="60"/>
      <c r="D8" s="102" t="s">
        <v>8</v>
      </c>
      <c r="E8" s="103"/>
      <c r="F8" s="103"/>
      <c r="G8" s="104"/>
      <c r="I8" s="39" t="s">
        <v>15</v>
      </c>
      <c r="J8" s="26">
        <f>+E5/1000</f>
        <v>63.819000000000003</v>
      </c>
      <c r="K8" s="8"/>
      <c r="L8" s="8"/>
      <c r="M8" s="38"/>
    </row>
    <row r="9" spans="2:13" ht="15.75" x14ac:dyDescent="0.25">
      <c r="B9" s="28" t="s">
        <v>9</v>
      </c>
      <c r="C9" s="33"/>
      <c r="D9" s="105" t="s">
        <v>39</v>
      </c>
      <c r="E9" s="106"/>
      <c r="F9" s="106"/>
      <c r="G9" s="107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4+6</f>
        <v>10</v>
      </c>
      <c r="K10" s="20">
        <f>+$J$8-I10</f>
        <v>62.819000000000003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6+7</f>
        <v>13</v>
      </c>
      <c r="K11" s="20">
        <f t="shared" ref="K11:K19" si="0">+$J$8-I11</f>
        <v>61.819000000000003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8+8</f>
        <v>16</v>
      </c>
      <c r="K12" s="20">
        <f t="shared" si="0"/>
        <v>60.819000000000003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7+10</f>
        <v>17</v>
      </c>
      <c r="K13" s="20">
        <f t="shared" si="0"/>
        <v>59.819000000000003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9+12</f>
        <v>21</v>
      </c>
      <c r="K14" s="20">
        <f t="shared" si="0"/>
        <v>58.819000000000003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10</v>
      </c>
      <c r="G15" s="51" t="s">
        <v>45</v>
      </c>
      <c r="I15" s="41">
        <v>6</v>
      </c>
      <c r="J15" s="19">
        <f>10+14</f>
        <v>24</v>
      </c>
      <c r="K15" s="20">
        <f t="shared" si="0"/>
        <v>57.819000000000003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13</v>
      </c>
      <c r="G16" s="51" t="s">
        <v>46</v>
      </c>
      <c r="I16" s="41">
        <v>7</v>
      </c>
      <c r="J16" s="19">
        <f>11+16</f>
        <v>27</v>
      </c>
      <c r="K16" s="20">
        <f t="shared" si="0"/>
        <v>56.819000000000003</v>
      </c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16</v>
      </c>
      <c r="G17" s="51" t="s">
        <v>46</v>
      </c>
      <c r="I17" s="41">
        <v>8</v>
      </c>
      <c r="J17" s="19">
        <f>15+19</f>
        <v>34</v>
      </c>
      <c r="K17" s="20">
        <f t="shared" si="0"/>
        <v>55.819000000000003</v>
      </c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17</v>
      </c>
      <c r="G18" s="51" t="s">
        <v>47</v>
      </c>
      <c r="I18" s="41">
        <v>9</v>
      </c>
      <c r="J18" s="19">
        <f>14+20</f>
        <v>34</v>
      </c>
      <c r="K18" s="20">
        <f t="shared" si="0"/>
        <v>54.819000000000003</v>
      </c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21</v>
      </c>
      <c r="G19" s="51" t="s">
        <v>47</v>
      </c>
      <c r="I19" s="41">
        <v>10</v>
      </c>
      <c r="J19" s="19">
        <f>19+30</f>
        <v>49</v>
      </c>
      <c r="K19" s="20">
        <f t="shared" si="0"/>
        <v>53.819000000000003</v>
      </c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24</v>
      </c>
      <c r="G20" s="51" t="s">
        <v>45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7</v>
      </c>
      <c r="F21" s="50">
        <f t="shared" si="1"/>
        <v>27</v>
      </c>
      <c r="G21" s="51" t="s">
        <v>45</v>
      </c>
      <c r="I21" s="34"/>
      <c r="J21" s="14">
        <v>0</v>
      </c>
      <c r="K21" s="15"/>
      <c r="L21" s="21">
        <f>+J8</f>
        <v>63.819000000000003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8</v>
      </c>
      <c r="F22" s="50">
        <f t="shared" si="1"/>
        <v>34</v>
      </c>
      <c r="G22" s="51" t="s">
        <v>45</v>
      </c>
      <c r="I22" s="34"/>
      <c r="J22" s="10">
        <v>0</v>
      </c>
      <c r="K22" s="11"/>
      <c r="L22" s="22">
        <f>+K19</f>
        <v>53.819000000000003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9</v>
      </c>
      <c r="F23" s="50">
        <f t="shared" si="1"/>
        <v>34</v>
      </c>
      <c r="G23" s="51" t="s">
        <v>46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10</v>
      </c>
      <c r="F24" s="50">
        <f t="shared" si="1"/>
        <v>49</v>
      </c>
      <c r="G24" s="51" t="s">
        <v>46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1" zoomScaleNormal="71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2" t="s">
        <v>1</v>
      </c>
      <c r="C2" s="13" t="s">
        <v>0</v>
      </c>
      <c r="D2" s="108" t="s">
        <v>19</v>
      </c>
      <c r="E2" s="109"/>
      <c r="F2" s="108" t="s">
        <v>3</v>
      </c>
      <c r="G2" s="109"/>
    </row>
    <row r="3" spans="2:13" ht="15.75" x14ac:dyDescent="0.25">
      <c r="B3" s="61"/>
      <c r="C3" s="28" t="s">
        <v>32</v>
      </c>
      <c r="D3" s="105" t="s">
        <v>68</v>
      </c>
      <c r="E3" s="107"/>
      <c r="F3" s="105" t="s">
        <v>99</v>
      </c>
      <c r="G3" s="107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102" t="s">
        <v>7</v>
      </c>
      <c r="G4" s="104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557768752</v>
      </c>
      <c r="D5" s="57">
        <v>6208236733</v>
      </c>
      <c r="E5" s="57">
        <v>60145</v>
      </c>
      <c r="F5" s="105" t="s">
        <v>20</v>
      </c>
      <c r="G5" s="107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102" t="s">
        <v>6</v>
      </c>
      <c r="F6" s="103"/>
      <c r="G6" s="104"/>
      <c r="I6" s="35"/>
      <c r="J6" s="36"/>
      <c r="K6" s="36"/>
      <c r="L6" s="36"/>
      <c r="M6" s="37"/>
    </row>
    <row r="7" spans="2:13" ht="15.75" x14ac:dyDescent="0.25">
      <c r="B7" s="61" t="s">
        <v>20</v>
      </c>
      <c r="C7" s="63" t="s">
        <v>25</v>
      </c>
      <c r="D7" s="61">
        <v>25062017</v>
      </c>
      <c r="E7" s="105" t="s">
        <v>36</v>
      </c>
      <c r="F7" s="106"/>
      <c r="G7" s="107"/>
      <c r="I7" s="34"/>
      <c r="J7" s="8"/>
      <c r="K7" s="8"/>
      <c r="L7" s="8"/>
      <c r="M7" s="38"/>
    </row>
    <row r="8" spans="2:13" ht="30" x14ac:dyDescent="0.25">
      <c r="B8" s="59" t="s">
        <v>11</v>
      </c>
      <c r="C8" s="60"/>
      <c r="D8" s="102" t="s">
        <v>8</v>
      </c>
      <c r="E8" s="103"/>
      <c r="F8" s="103"/>
      <c r="G8" s="104"/>
      <c r="I8" s="39" t="s">
        <v>15</v>
      </c>
      <c r="J8" s="26">
        <f>+E5/1000</f>
        <v>60.145000000000003</v>
      </c>
      <c r="K8" s="8"/>
      <c r="L8" s="8"/>
      <c r="M8" s="38"/>
    </row>
    <row r="9" spans="2:13" ht="15.75" x14ac:dyDescent="0.25">
      <c r="B9" s="28" t="s">
        <v>9</v>
      </c>
      <c r="C9" s="33"/>
      <c r="D9" s="105" t="s">
        <v>39</v>
      </c>
      <c r="E9" s="106"/>
      <c r="F9" s="106"/>
      <c r="G9" s="107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4+5</f>
        <v>9</v>
      </c>
      <c r="K10" s="20">
        <f>+$J$8-I10</f>
        <v>59.145000000000003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5+7</f>
        <v>12</v>
      </c>
      <c r="K11" s="20">
        <f t="shared" ref="K11:K18" si="0">+$J$8-I11</f>
        <v>58.145000000000003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6+10</f>
        <v>16</v>
      </c>
      <c r="K12" s="20">
        <f t="shared" si="0"/>
        <v>57.145000000000003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8+13</f>
        <v>21</v>
      </c>
      <c r="K13" s="20">
        <f t="shared" si="0"/>
        <v>56.145000000000003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12+14</f>
        <v>26</v>
      </c>
      <c r="K14" s="20">
        <f t="shared" si="0"/>
        <v>55.145000000000003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9</v>
      </c>
      <c r="G15" s="51" t="s">
        <v>46</v>
      </c>
      <c r="I15" s="41">
        <v>6</v>
      </c>
      <c r="J15" s="19">
        <f>14+20</f>
        <v>34</v>
      </c>
      <c r="K15" s="20">
        <f t="shared" si="0"/>
        <v>54.145000000000003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12</v>
      </c>
      <c r="G16" s="51" t="s">
        <v>47</v>
      </c>
      <c r="I16" s="41">
        <v>7</v>
      </c>
      <c r="J16" s="19">
        <f>14+22</f>
        <v>36</v>
      </c>
      <c r="K16" s="20">
        <f t="shared" si="0"/>
        <v>53.145000000000003</v>
      </c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16</v>
      </c>
      <c r="G17" s="51" t="s">
        <v>47</v>
      </c>
      <c r="I17" s="41">
        <v>8</v>
      </c>
      <c r="J17" s="19">
        <f>18+25</f>
        <v>43</v>
      </c>
      <c r="K17" s="20">
        <f t="shared" si="0"/>
        <v>52.145000000000003</v>
      </c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21</v>
      </c>
      <c r="G18" s="51" t="s">
        <v>47</v>
      </c>
      <c r="I18" s="41">
        <v>8.5</v>
      </c>
      <c r="J18" s="19">
        <f>22+36</f>
        <v>58</v>
      </c>
      <c r="K18" s="20">
        <f t="shared" si="0"/>
        <v>51.645000000000003</v>
      </c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26</v>
      </c>
      <c r="G19" s="51" t="s">
        <v>46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34</v>
      </c>
      <c r="G20" s="51" t="s">
        <v>47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7</v>
      </c>
      <c r="F21" s="50">
        <f t="shared" si="1"/>
        <v>36</v>
      </c>
      <c r="G21" s="51" t="s">
        <v>47</v>
      </c>
      <c r="I21" s="34"/>
      <c r="J21" s="14">
        <v>0</v>
      </c>
      <c r="K21" s="15"/>
      <c r="L21" s="21">
        <f>+J8</f>
        <v>60.145000000000003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8</v>
      </c>
      <c r="F22" s="50">
        <f t="shared" si="1"/>
        <v>43</v>
      </c>
      <c r="G22" s="51" t="s">
        <v>47</v>
      </c>
      <c r="I22" s="34"/>
      <c r="J22" s="10">
        <v>0</v>
      </c>
      <c r="K22" s="11"/>
      <c r="L22" s="22">
        <f>+K18</f>
        <v>51.645000000000003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8.5</v>
      </c>
      <c r="F23" s="50">
        <f t="shared" si="1"/>
        <v>58</v>
      </c>
      <c r="G23" s="51" t="s">
        <v>47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1" zoomScaleNormal="71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2" t="s">
        <v>1</v>
      </c>
      <c r="C2" s="13" t="s">
        <v>0</v>
      </c>
      <c r="D2" s="108" t="s">
        <v>19</v>
      </c>
      <c r="E2" s="109"/>
      <c r="F2" s="108" t="s">
        <v>3</v>
      </c>
      <c r="G2" s="109"/>
    </row>
    <row r="3" spans="2:13" ht="15.75" x14ac:dyDescent="0.25">
      <c r="B3" s="61"/>
      <c r="C3" s="28" t="s">
        <v>32</v>
      </c>
      <c r="D3" s="105" t="s">
        <v>68</v>
      </c>
      <c r="E3" s="107"/>
      <c r="F3" s="105" t="s">
        <v>100</v>
      </c>
      <c r="G3" s="107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102" t="s">
        <v>7</v>
      </c>
      <c r="G4" s="104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557873566</v>
      </c>
      <c r="D5" s="57">
        <v>6208370563</v>
      </c>
      <c r="E5" s="57">
        <v>59693</v>
      </c>
      <c r="F5" s="105" t="s">
        <v>20</v>
      </c>
      <c r="G5" s="107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102" t="s">
        <v>6</v>
      </c>
      <c r="F6" s="103"/>
      <c r="G6" s="104"/>
      <c r="I6" s="35"/>
      <c r="J6" s="36"/>
      <c r="K6" s="36"/>
      <c r="L6" s="36"/>
      <c r="M6" s="37"/>
    </row>
    <row r="7" spans="2:13" ht="15.75" x14ac:dyDescent="0.25">
      <c r="B7" s="61" t="s">
        <v>20</v>
      </c>
      <c r="C7" s="58" t="s">
        <v>25</v>
      </c>
      <c r="D7" s="64">
        <v>25062017</v>
      </c>
      <c r="E7" s="105" t="s">
        <v>36</v>
      </c>
      <c r="F7" s="106"/>
      <c r="G7" s="107"/>
      <c r="I7" s="34"/>
      <c r="J7" s="8"/>
      <c r="K7" s="8"/>
      <c r="L7" s="8"/>
      <c r="M7" s="38"/>
    </row>
    <row r="8" spans="2:13" ht="30" x14ac:dyDescent="0.25">
      <c r="B8" s="59" t="s">
        <v>11</v>
      </c>
      <c r="C8" s="60"/>
      <c r="D8" s="102" t="s">
        <v>8</v>
      </c>
      <c r="E8" s="103"/>
      <c r="F8" s="103"/>
      <c r="G8" s="104"/>
      <c r="I8" s="39" t="s">
        <v>15</v>
      </c>
      <c r="J8" s="26">
        <f>+E5/1000</f>
        <v>59.692999999999998</v>
      </c>
      <c r="K8" s="8"/>
      <c r="L8" s="8"/>
      <c r="M8" s="38"/>
    </row>
    <row r="9" spans="2:13" ht="15.75" x14ac:dyDescent="0.25">
      <c r="B9" s="28" t="s">
        <v>9</v>
      </c>
      <c r="C9" s="33"/>
      <c r="D9" s="105" t="s">
        <v>39</v>
      </c>
      <c r="E9" s="106"/>
      <c r="F9" s="106"/>
      <c r="G9" s="107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5+6</f>
        <v>11</v>
      </c>
      <c r="K10" s="20">
        <f>+$J$8-I10</f>
        <v>58.692999999999998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6+7</f>
        <v>13</v>
      </c>
      <c r="K11" s="20">
        <f t="shared" ref="K11:K17" si="0">+$J$8-I11</f>
        <v>57.692999999999998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6+9</f>
        <v>15</v>
      </c>
      <c r="K12" s="20">
        <f t="shared" si="0"/>
        <v>56.692999999999998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7+11</f>
        <v>18</v>
      </c>
      <c r="K13" s="20">
        <f t="shared" si="0"/>
        <v>55.692999999999998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10+13</f>
        <v>23</v>
      </c>
      <c r="K14" s="20">
        <f t="shared" si="0"/>
        <v>54.692999999999998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11</v>
      </c>
      <c r="G15" s="51" t="s">
        <v>45</v>
      </c>
      <c r="I15" s="41">
        <v>6</v>
      </c>
      <c r="J15" s="19">
        <f>10+17</f>
        <v>27</v>
      </c>
      <c r="K15" s="20">
        <f t="shared" si="0"/>
        <v>53.692999999999998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13</v>
      </c>
      <c r="G16" s="51" t="s">
        <v>45</v>
      </c>
      <c r="I16" s="41">
        <v>7</v>
      </c>
      <c r="J16" s="19">
        <f>23+23</f>
        <v>46</v>
      </c>
      <c r="K16" s="20">
        <f t="shared" si="0"/>
        <v>52.692999999999998</v>
      </c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15</v>
      </c>
      <c r="G17" s="51" t="s">
        <v>45</v>
      </c>
      <c r="I17" s="41">
        <v>8</v>
      </c>
      <c r="J17" s="19">
        <f>29+34</f>
        <v>63</v>
      </c>
      <c r="K17" s="20">
        <f t="shared" si="0"/>
        <v>51.692999999999998</v>
      </c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18</v>
      </c>
      <c r="G18" s="51" t="s">
        <v>45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23</v>
      </c>
      <c r="G19" s="51" t="s">
        <v>45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27</v>
      </c>
      <c r="G20" s="51" t="s">
        <v>50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7</v>
      </c>
      <c r="F21" s="50">
        <f t="shared" si="1"/>
        <v>46</v>
      </c>
      <c r="G21" s="51" t="s">
        <v>50</v>
      </c>
      <c r="I21" s="34"/>
      <c r="J21" s="14">
        <v>0</v>
      </c>
      <c r="K21" s="15"/>
      <c r="L21" s="21">
        <f>+J8</f>
        <v>59.692999999999998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8</v>
      </c>
      <c r="F22" s="50">
        <f t="shared" si="1"/>
        <v>63</v>
      </c>
      <c r="G22" s="51" t="s">
        <v>50</v>
      </c>
      <c r="I22" s="34"/>
      <c r="J22" s="10">
        <v>0</v>
      </c>
      <c r="K22" s="11"/>
      <c r="L22" s="22">
        <f>+K17</f>
        <v>51.692999999999998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68" zoomScaleNormal="68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2" t="s">
        <v>1</v>
      </c>
      <c r="C2" s="13" t="s">
        <v>0</v>
      </c>
      <c r="D2" s="108" t="s">
        <v>19</v>
      </c>
      <c r="E2" s="109"/>
      <c r="F2" s="108" t="s">
        <v>3</v>
      </c>
      <c r="G2" s="109"/>
    </row>
    <row r="3" spans="2:13" ht="15.75" x14ac:dyDescent="0.25">
      <c r="B3" s="61"/>
      <c r="C3" s="28" t="s">
        <v>32</v>
      </c>
      <c r="D3" s="105" t="s">
        <v>68</v>
      </c>
      <c r="E3" s="107"/>
      <c r="F3" s="105" t="s">
        <v>101</v>
      </c>
      <c r="G3" s="107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102" t="s">
        <v>7</v>
      </c>
      <c r="G4" s="104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557933828</v>
      </c>
      <c r="D5" s="57">
        <v>6208442453</v>
      </c>
      <c r="E5" s="57">
        <v>60512</v>
      </c>
      <c r="F5" s="105" t="s">
        <v>20</v>
      </c>
      <c r="G5" s="107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102" t="s">
        <v>6</v>
      </c>
      <c r="F6" s="103"/>
      <c r="G6" s="104"/>
      <c r="I6" s="35"/>
      <c r="J6" s="36"/>
      <c r="K6" s="36"/>
      <c r="L6" s="36"/>
      <c r="M6" s="37"/>
    </row>
    <row r="7" spans="2:13" ht="15.75" x14ac:dyDescent="0.25">
      <c r="B7" s="61" t="s">
        <v>20</v>
      </c>
      <c r="C7" s="58" t="s">
        <v>25</v>
      </c>
      <c r="D7" s="64">
        <v>25062017</v>
      </c>
      <c r="E7" s="105" t="s">
        <v>36</v>
      </c>
      <c r="F7" s="106"/>
      <c r="G7" s="107"/>
      <c r="I7" s="34"/>
      <c r="J7" s="8"/>
      <c r="K7" s="8"/>
      <c r="L7" s="8"/>
      <c r="M7" s="38"/>
    </row>
    <row r="8" spans="2:13" ht="30" x14ac:dyDescent="0.25">
      <c r="B8" s="59" t="s">
        <v>11</v>
      </c>
      <c r="C8" s="60"/>
      <c r="D8" s="102" t="s">
        <v>8</v>
      </c>
      <c r="E8" s="103"/>
      <c r="F8" s="103"/>
      <c r="G8" s="104"/>
      <c r="I8" s="39" t="s">
        <v>15</v>
      </c>
      <c r="J8" s="26">
        <f>+E5/1000</f>
        <v>60.512</v>
      </c>
      <c r="K8" s="8"/>
      <c r="L8" s="8"/>
      <c r="M8" s="38"/>
    </row>
    <row r="9" spans="2:13" ht="15.75" x14ac:dyDescent="0.25">
      <c r="B9" s="28" t="s">
        <v>9</v>
      </c>
      <c r="C9" s="33"/>
      <c r="D9" s="105" t="s">
        <v>39</v>
      </c>
      <c r="E9" s="106"/>
      <c r="F9" s="106"/>
      <c r="G9" s="107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4+4</f>
        <v>8</v>
      </c>
      <c r="K10" s="20">
        <f>+$J$8-I10</f>
        <v>59.512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4+6</f>
        <v>10</v>
      </c>
      <c r="K11" s="20">
        <f t="shared" ref="K11:K19" si="0">+$J$8-I11</f>
        <v>58.512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6+7</f>
        <v>13</v>
      </c>
      <c r="K12" s="20">
        <f t="shared" si="0"/>
        <v>57.512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6+7</f>
        <v>13</v>
      </c>
      <c r="K13" s="20">
        <f t="shared" si="0"/>
        <v>56.512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8+8</f>
        <v>16</v>
      </c>
      <c r="K14" s="20">
        <f t="shared" si="0"/>
        <v>55.512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8</v>
      </c>
      <c r="G15" s="51" t="s">
        <v>46</v>
      </c>
      <c r="I15" s="41">
        <v>6</v>
      </c>
      <c r="J15" s="19">
        <f>13+13</f>
        <v>26</v>
      </c>
      <c r="K15" s="20">
        <f t="shared" si="0"/>
        <v>54.512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10</v>
      </c>
      <c r="G16" s="51" t="s">
        <v>46</v>
      </c>
      <c r="I16" s="41">
        <v>7</v>
      </c>
      <c r="J16" s="19">
        <f>14+19</f>
        <v>33</v>
      </c>
      <c r="K16" s="20">
        <f t="shared" si="0"/>
        <v>53.512</v>
      </c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13</v>
      </c>
      <c r="G17" s="51" t="s">
        <v>47</v>
      </c>
      <c r="I17" s="41">
        <v>8</v>
      </c>
      <c r="J17" s="19">
        <f>15+20</f>
        <v>35</v>
      </c>
      <c r="K17" s="20">
        <f t="shared" si="0"/>
        <v>52.512</v>
      </c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13</v>
      </c>
      <c r="G18" s="51" t="s">
        <v>47</v>
      </c>
      <c r="I18" s="41">
        <v>9</v>
      </c>
      <c r="J18" s="19">
        <f>19+24</f>
        <v>43</v>
      </c>
      <c r="K18" s="20">
        <f t="shared" si="0"/>
        <v>51.512</v>
      </c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16</v>
      </c>
      <c r="G19" s="51" t="s">
        <v>47</v>
      </c>
      <c r="I19" s="41">
        <v>10</v>
      </c>
      <c r="J19" s="19">
        <f>23+30</f>
        <v>53</v>
      </c>
      <c r="K19" s="20">
        <f t="shared" si="0"/>
        <v>50.512</v>
      </c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26</v>
      </c>
      <c r="G20" s="51" t="s">
        <v>47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7</v>
      </c>
      <c r="F21" s="50">
        <f t="shared" si="1"/>
        <v>33</v>
      </c>
      <c r="G21" s="51" t="s">
        <v>45</v>
      </c>
      <c r="I21" s="34"/>
      <c r="J21" s="14">
        <v>0</v>
      </c>
      <c r="K21" s="15"/>
      <c r="L21" s="21">
        <f>+J8</f>
        <v>60.512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8</v>
      </c>
      <c r="F22" s="50">
        <f t="shared" si="1"/>
        <v>35</v>
      </c>
      <c r="G22" s="51" t="s">
        <v>45</v>
      </c>
      <c r="I22" s="34"/>
      <c r="J22" s="10">
        <v>0</v>
      </c>
      <c r="K22" s="11"/>
      <c r="L22" s="22">
        <f>+K19</f>
        <v>50.512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9</v>
      </c>
      <c r="F23" s="50">
        <f t="shared" si="1"/>
        <v>43</v>
      </c>
      <c r="G23" s="51" t="s">
        <v>46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10</v>
      </c>
      <c r="F24" s="50">
        <f t="shared" si="1"/>
        <v>53</v>
      </c>
      <c r="G24" s="51" t="s">
        <v>46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1" zoomScaleNormal="71" workbookViewId="0">
      <selection activeCell="C5" sqref="C5: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2" t="s">
        <v>1</v>
      </c>
      <c r="C2" s="13" t="s">
        <v>0</v>
      </c>
      <c r="D2" s="108" t="s">
        <v>19</v>
      </c>
      <c r="E2" s="109"/>
      <c r="F2" s="108" t="s">
        <v>3</v>
      </c>
      <c r="G2" s="109"/>
    </row>
    <row r="3" spans="2:13" ht="15.75" x14ac:dyDescent="0.25">
      <c r="B3" s="61"/>
      <c r="C3" s="28" t="s">
        <v>32</v>
      </c>
      <c r="D3" s="105" t="s">
        <v>68</v>
      </c>
      <c r="E3" s="107"/>
      <c r="F3" s="105" t="s">
        <v>102</v>
      </c>
      <c r="G3" s="107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102" t="s">
        <v>7</v>
      </c>
      <c r="G4" s="104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 t="s">
        <v>107</v>
      </c>
      <c r="D5" s="57">
        <v>6208540044</v>
      </c>
      <c r="E5" s="57">
        <v>58833</v>
      </c>
      <c r="F5" s="105" t="s">
        <v>20</v>
      </c>
      <c r="G5" s="107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102" t="s">
        <v>6</v>
      </c>
      <c r="F6" s="103"/>
      <c r="G6" s="104"/>
      <c r="I6" s="35"/>
      <c r="J6" s="36"/>
      <c r="K6" s="36"/>
      <c r="L6" s="36"/>
      <c r="M6" s="37"/>
    </row>
    <row r="7" spans="2:13" ht="15.75" x14ac:dyDescent="0.25">
      <c r="B7" s="61" t="s">
        <v>20</v>
      </c>
      <c r="C7" s="58" t="s">
        <v>25</v>
      </c>
      <c r="D7" s="64">
        <v>25062017</v>
      </c>
      <c r="E7" s="105" t="s">
        <v>36</v>
      </c>
      <c r="F7" s="106"/>
      <c r="G7" s="107"/>
      <c r="I7" s="34"/>
      <c r="J7" s="8"/>
      <c r="K7" s="8"/>
      <c r="L7" s="8"/>
      <c r="M7" s="38"/>
    </row>
    <row r="8" spans="2:13" ht="30" x14ac:dyDescent="0.25">
      <c r="B8" s="59" t="s">
        <v>11</v>
      </c>
      <c r="C8" s="60"/>
      <c r="D8" s="102" t="s">
        <v>8</v>
      </c>
      <c r="E8" s="103"/>
      <c r="F8" s="103"/>
      <c r="G8" s="104"/>
      <c r="I8" s="39" t="s">
        <v>15</v>
      </c>
      <c r="J8" s="26">
        <f>+E5/1000</f>
        <v>58.832999999999998</v>
      </c>
      <c r="K8" s="8"/>
      <c r="L8" s="8"/>
      <c r="M8" s="38"/>
    </row>
    <row r="9" spans="2:13" ht="15.75" x14ac:dyDescent="0.25">
      <c r="B9" s="28" t="s">
        <v>9</v>
      </c>
      <c r="C9" s="33"/>
      <c r="D9" s="105" t="s">
        <v>39</v>
      </c>
      <c r="E9" s="106"/>
      <c r="F9" s="106"/>
      <c r="G9" s="107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5+5</f>
        <v>10</v>
      </c>
      <c r="K10" s="20">
        <f>+$J$8-I10</f>
        <v>57.832999999999998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3+5</f>
        <v>8</v>
      </c>
      <c r="K11" s="20">
        <f t="shared" ref="K11:K18" si="0">+$J$8-I11</f>
        <v>56.832999999999998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6+7</f>
        <v>13</v>
      </c>
      <c r="K12" s="20">
        <f t="shared" si="0"/>
        <v>55.832999999999998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8+11</f>
        <v>19</v>
      </c>
      <c r="K13" s="20">
        <f t="shared" si="0"/>
        <v>54.832999999999998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14+14</f>
        <v>28</v>
      </c>
      <c r="K14" s="20">
        <f t="shared" si="0"/>
        <v>53.832999999999998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10</v>
      </c>
      <c r="G15" s="51" t="s">
        <v>46</v>
      </c>
      <c r="I15" s="41">
        <v>6</v>
      </c>
      <c r="J15" s="19">
        <f>15+21</f>
        <v>36</v>
      </c>
      <c r="K15" s="20">
        <f t="shared" si="0"/>
        <v>52.832999999999998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8</v>
      </c>
      <c r="G16" s="51" t="s">
        <v>47</v>
      </c>
      <c r="I16" s="41">
        <v>7</v>
      </c>
      <c r="J16" s="19">
        <f>14+19</f>
        <v>33</v>
      </c>
      <c r="K16" s="20">
        <f t="shared" si="0"/>
        <v>51.832999999999998</v>
      </c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13</v>
      </c>
      <c r="G17" s="51" t="s">
        <v>47</v>
      </c>
      <c r="I17" s="41">
        <v>8</v>
      </c>
      <c r="J17" s="19">
        <f>18+27</f>
        <v>45</v>
      </c>
      <c r="K17" s="20">
        <f t="shared" si="0"/>
        <v>50.832999999999998</v>
      </c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19</v>
      </c>
      <c r="G18" s="51" t="s">
        <v>47</v>
      </c>
      <c r="I18" s="41">
        <v>8.5</v>
      </c>
      <c r="J18" s="19">
        <f>23+38</f>
        <v>61</v>
      </c>
      <c r="K18" s="20">
        <f t="shared" si="0"/>
        <v>50.332999999999998</v>
      </c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28</v>
      </c>
      <c r="G19" s="51" t="s">
        <v>47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36</v>
      </c>
      <c r="G20" s="51" t="s">
        <v>46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7</v>
      </c>
      <c r="F21" s="50">
        <f t="shared" si="1"/>
        <v>33</v>
      </c>
      <c r="G21" s="51" t="s">
        <v>46</v>
      </c>
      <c r="I21" s="34"/>
      <c r="J21" s="14">
        <v>0</v>
      </c>
      <c r="K21" s="15"/>
      <c r="L21" s="21">
        <f>+J8</f>
        <v>58.832999999999998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8</v>
      </c>
      <c r="F22" s="50">
        <f t="shared" si="1"/>
        <v>45</v>
      </c>
      <c r="G22" s="51" t="s">
        <v>46</v>
      </c>
      <c r="I22" s="34"/>
      <c r="J22" s="10">
        <v>0</v>
      </c>
      <c r="K22" s="11"/>
      <c r="L22" s="22">
        <f>+K18</f>
        <v>50.332999999999998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8.5</v>
      </c>
      <c r="F23" s="50">
        <f t="shared" si="1"/>
        <v>61</v>
      </c>
      <c r="G23" s="51" t="s">
        <v>46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J17" sqref="J17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108" t="s">
        <v>19</v>
      </c>
      <c r="E2" s="109"/>
      <c r="F2" s="108" t="s">
        <v>3</v>
      </c>
      <c r="G2" s="109"/>
    </row>
    <row r="3" spans="2:13" ht="15.75" x14ac:dyDescent="0.25">
      <c r="B3" s="54"/>
      <c r="C3" s="28" t="s">
        <v>32</v>
      </c>
      <c r="D3" s="105" t="s">
        <v>68</v>
      </c>
      <c r="E3" s="107"/>
      <c r="F3" s="105" t="s">
        <v>66</v>
      </c>
      <c r="G3" s="107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102" t="s">
        <v>7</v>
      </c>
      <c r="G4" s="104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555831554</v>
      </c>
      <c r="D5" s="57">
        <v>6204087578</v>
      </c>
      <c r="E5" s="57">
        <v>50828</v>
      </c>
      <c r="F5" s="105" t="s">
        <v>20</v>
      </c>
      <c r="G5" s="107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102" t="s">
        <v>6</v>
      </c>
      <c r="F6" s="103"/>
      <c r="G6" s="104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49" t="s">
        <v>25</v>
      </c>
      <c r="D7" s="54">
        <v>21062017</v>
      </c>
      <c r="E7" s="105" t="s">
        <v>36</v>
      </c>
      <c r="F7" s="106"/>
      <c r="G7" s="107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102" t="s">
        <v>8</v>
      </c>
      <c r="E8" s="103"/>
      <c r="F8" s="103"/>
      <c r="G8" s="104"/>
      <c r="I8" s="39" t="s">
        <v>15</v>
      </c>
      <c r="J8" s="26">
        <f>+E5/1000</f>
        <v>50.828000000000003</v>
      </c>
      <c r="K8" s="8"/>
      <c r="L8" s="8"/>
      <c r="M8" s="38"/>
    </row>
    <row r="9" spans="2:13" ht="15.75" x14ac:dyDescent="0.25">
      <c r="B9" s="28" t="s">
        <v>9</v>
      </c>
      <c r="C9" s="33"/>
      <c r="D9" s="105" t="s">
        <v>39</v>
      </c>
      <c r="E9" s="106"/>
      <c r="F9" s="106"/>
      <c r="G9" s="107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4+5</f>
        <v>9</v>
      </c>
      <c r="K10" s="20">
        <f>+$J$8-I10</f>
        <v>49.828000000000003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3+4</f>
        <v>7</v>
      </c>
      <c r="K11" s="20">
        <f t="shared" ref="K11:K17" si="0">+$J$8-I11</f>
        <v>48.828000000000003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3+4</f>
        <v>7</v>
      </c>
      <c r="K12" s="20">
        <f t="shared" si="0"/>
        <v>47.828000000000003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6+8</f>
        <v>14</v>
      </c>
      <c r="K13" s="20">
        <f t="shared" si="0"/>
        <v>46.828000000000003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14+15</f>
        <v>29</v>
      </c>
      <c r="K14" s="20">
        <f t="shared" si="0"/>
        <v>45.828000000000003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9</v>
      </c>
      <c r="G15" s="51" t="s">
        <v>41</v>
      </c>
      <c r="I15" s="41">
        <v>6</v>
      </c>
      <c r="J15" s="19">
        <f>17+18</f>
        <v>35</v>
      </c>
      <c r="K15" s="20">
        <f t="shared" si="0"/>
        <v>44.828000000000003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7</v>
      </c>
      <c r="G16" s="51" t="s">
        <v>45</v>
      </c>
      <c r="I16" s="41">
        <v>7</v>
      </c>
      <c r="J16" s="19">
        <f>22+27</f>
        <v>49</v>
      </c>
      <c r="K16" s="20">
        <f t="shared" si="0"/>
        <v>43.828000000000003</v>
      </c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7</v>
      </c>
      <c r="G17" s="51" t="s">
        <v>44</v>
      </c>
      <c r="I17" s="41">
        <v>8</v>
      </c>
      <c r="J17" s="19">
        <f>22+30</f>
        <v>52</v>
      </c>
      <c r="K17" s="20">
        <f t="shared" si="0"/>
        <v>42.828000000000003</v>
      </c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14</v>
      </c>
      <c r="G18" s="51" t="s">
        <v>54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29</v>
      </c>
      <c r="G19" s="51" t="s">
        <v>44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35</v>
      </c>
      <c r="G20" s="51" t="s">
        <v>44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7</v>
      </c>
      <c r="F21" s="50">
        <f t="shared" si="1"/>
        <v>49</v>
      </c>
      <c r="G21" s="51" t="s">
        <v>44</v>
      </c>
      <c r="I21" s="34"/>
      <c r="J21" s="14">
        <v>0</v>
      </c>
      <c r="K21" s="15"/>
      <c r="L21" s="21">
        <f>+J8</f>
        <v>50.828000000000003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8</v>
      </c>
      <c r="F22" s="50">
        <f t="shared" si="1"/>
        <v>52</v>
      </c>
      <c r="G22" s="51" t="s">
        <v>47</v>
      </c>
      <c r="I22" s="34"/>
      <c r="J22" s="10">
        <v>0</v>
      </c>
      <c r="K22" s="11"/>
      <c r="L22" s="22">
        <f>+K17</f>
        <v>42.828000000000003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E5" sqref="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108" t="s">
        <v>19</v>
      </c>
      <c r="E2" s="109"/>
      <c r="F2" s="108" t="s">
        <v>3</v>
      </c>
      <c r="G2" s="109"/>
    </row>
    <row r="3" spans="2:13" ht="15.75" x14ac:dyDescent="0.25">
      <c r="B3" s="54"/>
      <c r="C3" s="28" t="s">
        <v>32</v>
      </c>
      <c r="D3" s="105" t="s">
        <v>68</v>
      </c>
      <c r="E3" s="107"/>
      <c r="F3" s="105" t="s">
        <v>69</v>
      </c>
      <c r="G3" s="107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102" t="s">
        <v>7</v>
      </c>
      <c r="G4" s="104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555692848</v>
      </c>
      <c r="D5" s="57">
        <v>6204315934</v>
      </c>
      <c r="E5" s="57">
        <v>48166</v>
      </c>
      <c r="F5" s="105" t="s">
        <v>20</v>
      </c>
      <c r="G5" s="107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102" t="s">
        <v>6</v>
      </c>
      <c r="F6" s="103"/>
      <c r="G6" s="104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58" t="s">
        <v>25</v>
      </c>
      <c r="D7" s="54">
        <v>23062017</v>
      </c>
      <c r="E7" s="105" t="s">
        <v>36</v>
      </c>
      <c r="F7" s="106"/>
      <c r="G7" s="107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102" t="s">
        <v>8</v>
      </c>
      <c r="E8" s="103"/>
      <c r="F8" s="103"/>
      <c r="G8" s="104"/>
      <c r="I8" s="39" t="s">
        <v>15</v>
      </c>
      <c r="J8" s="26">
        <f>+E5/1000</f>
        <v>48.165999999999997</v>
      </c>
      <c r="K8" s="8"/>
      <c r="L8" s="8"/>
      <c r="M8" s="38"/>
    </row>
    <row r="9" spans="2:13" ht="15.75" x14ac:dyDescent="0.25">
      <c r="B9" s="28" t="s">
        <v>9</v>
      </c>
      <c r="C9" s="33"/>
      <c r="D9" s="105" t="s">
        <v>39</v>
      </c>
      <c r="E9" s="106"/>
      <c r="F9" s="106"/>
      <c r="G9" s="107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2+3</f>
        <v>5</v>
      </c>
      <c r="K10" s="20">
        <f>+$J$8-I10</f>
        <v>47.165999999999997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4+5</f>
        <v>9</v>
      </c>
      <c r="K11" s="20">
        <f t="shared" ref="K11:K17" si="0">+$J$8-I11</f>
        <v>46.165999999999997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8+14</f>
        <v>22</v>
      </c>
      <c r="K12" s="20">
        <f t="shared" si="0"/>
        <v>45.165999999999997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15+18</f>
        <v>33</v>
      </c>
      <c r="K13" s="20">
        <f t="shared" si="0"/>
        <v>44.165999999999997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14+20</f>
        <v>34</v>
      </c>
      <c r="K14" s="20">
        <f t="shared" si="0"/>
        <v>43.165999999999997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5</v>
      </c>
      <c r="G15" s="51" t="s">
        <v>44</v>
      </c>
      <c r="I15" s="41">
        <v>6</v>
      </c>
      <c r="J15" s="19">
        <f>21+22</f>
        <v>43</v>
      </c>
      <c r="K15" s="20">
        <f t="shared" si="0"/>
        <v>42.165999999999997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9</v>
      </c>
      <c r="G16" s="51" t="s">
        <v>105</v>
      </c>
      <c r="I16" s="41">
        <v>7</v>
      </c>
      <c r="J16" s="19">
        <f>21+25</f>
        <v>46</v>
      </c>
      <c r="K16" s="20">
        <f t="shared" si="0"/>
        <v>41.165999999999997</v>
      </c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22</v>
      </c>
      <c r="G17" s="51" t="s">
        <v>105</v>
      </c>
      <c r="I17" s="41">
        <v>7.5</v>
      </c>
      <c r="J17" s="19">
        <v>50</v>
      </c>
      <c r="K17" s="20">
        <f t="shared" si="0"/>
        <v>40.665999999999997</v>
      </c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33</v>
      </c>
      <c r="G18" s="51" t="s">
        <v>105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34</v>
      </c>
      <c r="G19" s="51" t="s">
        <v>57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43</v>
      </c>
      <c r="G20" s="51" t="s">
        <v>77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7</v>
      </c>
      <c r="F21" s="50">
        <f t="shared" si="1"/>
        <v>46</v>
      </c>
      <c r="G21" s="51" t="s">
        <v>77</v>
      </c>
      <c r="I21" s="34"/>
      <c r="J21" s="14">
        <v>0</v>
      </c>
      <c r="K21" s="15"/>
      <c r="L21" s="21">
        <f>+J8</f>
        <v>48.165999999999997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7.5</v>
      </c>
      <c r="F22" s="50">
        <f t="shared" si="1"/>
        <v>50</v>
      </c>
      <c r="G22" s="51" t="s">
        <v>77</v>
      </c>
      <c r="I22" s="34"/>
      <c r="J22" s="10">
        <v>0</v>
      </c>
      <c r="K22" s="11"/>
      <c r="L22" s="22">
        <f>+K17</f>
        <v>40.665999999999997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E5" sqref="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108" t="s">
        <v>19</v>
      </c>
      <c r="E2" s="109"/>
      <c r="F2" s="108" t="s">
        <v>3</v>
      </c>
      <c r="G2" s="109"/>
    </row>
    <row r="3" spans="2:13" ht="15.75" x14ac:dyDescent="0.25">
      <c r="B3" s="54"/>
      <c r="C3" s="28" t="s">
        <v>32</v>
      </c>
      <c r="D3" s="105" t="s">
        <v>68</v>
      </c>
      <c r="E3" s="107"/>
      <c r="F3" s="105" t="s">
        <v>70</v>
      </c>
      <c r="G3" s="107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102" t="s">
        <v>7</v>
      </c>
      <c r="G4" s="104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555578859</v>
      </c>
      <c r="D5" s="57">
        <v>6204487974</v>
      </c>
      <c r="E5" s="57">
        <v>47253</v>
      </c>
      <c r="F5" s="105" t="s">
        <v>20</v>
      </c>
      <c r="G5" s="107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102" t="s">
        <v>6</v>
      </c>
      <c r="F6" s="103"/>
      <c r="G6" s="104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58" t="s">
        <v>25</v>
      </c>
      <c r="D7" s="54">
        <v>22062017</v>
      </c>
      <c r="E7" s="105" t="s">
        <v>36</v>
      </c>
      <c r="F7" s="106"/>
      <c r="G7" s="107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102" t="s">
        <v>8</v>
      </c>
      <c r="E8" s="103"/>
      <c r="F8" s="103"/>
      <c r="G8" s="104"/>
      <c r="I8" s="39" t="s">
        <v>15</v>
      </c>
      <c r="J8" s="26">
        <f>+E5/1000</f>
        <v>47.253</v>
      </c>
      <c r="K8" s="8"/>
      <c r="L8" s="8"/>
      <c r="M8" s="38"/>
    </row>
    <row r="9" spans="2:13" ht="15.75" x14ac:dyDescent="0.25">
      <c r="B9" s="28" t="s">
        <v>9</v>
      </c>
      <c r="C9" s="33"/>
      <c r="D9" s="105" t="s">
        <v>39</v>
      </c>
      <c r="E9" s="106"/>
      <c r="F9" s="106"/>
      <c r="G9" s="107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2+4</f>
        <v>6</v>
      </c>
      <c r="K10" s="20">
        <f>+$J$8-I10</f>
        <v>46.253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4+6</f>
        <v>10</v>
      </c>
      <c r="K11" s="20">
        <f t="shared" ref="K11:K16" si="0">+$J$8-I11</f>
        <v>45.253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13+18</f>
        <v>31</v>
      </c>
      <c r="K12" s="20">
        <f t="shared" si="0"/>
        <v>44.253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18+19</f>
        <v>37</v>
      </c>
      <c r="K13" s="20">
        <f t="shared" si="0"/>
        <v>43.253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18+23</f>
        <v>41</v>
      </c>
      <c r="K14" s="20">
        <f t="shared" si="0"/>
        <v>42.253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6</v>
      </c>
      <c r="G15" s="51" t="s">
        <v>45</v>
      </c>
      <c r="I15" s="41">
        <v>6</v>
      </c>
      <c r="J15" s="19">
        <f>16+21</f>
        <v>37</v>
      </c>
      <c r="K15" s="20">
        <f t="shared" si="0"/>
        <v>41.253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10</v>
      </c>
      <c r="G16" s="51" t="s">
        <v>42</v>
      </c>
      <c r="I16" s="41">
        <v>7</v>
      </c>
      <c r="J16" s="19">
        <v>50</v>
      </c>
      <c r="K16" s="20">
        <f t="shared" si="0"/>
        <v>40.253</v>
      </c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31</v>
      </c>
      <c r="G17" s="51" t="s">
        <v>71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37</v>
      </c>
      <c r="G18" s="51" t="s">
        <v>46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41</v>
      </c>
      <c r="G19" s="51" t="s">
        <v>72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37</v>
      </c>
      <c r="G20" s="51" t="s">
        <v>55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7</v>
      </c>
      <c r="F21" s="50">
        <f t="shared" si="1"/>
        <v>50</v>
      </c>
      <c r="G21" s="51" t="s">
        <v>73</v>
      </c>
      <c r="I21" s="34"/>
      <c r="J21" s="14">
        <v>0</v>
      </c>
      <c r="K21" s="15"/>
      <c r="L21" s="21">
        <f>+J8</f>
        <v>47.253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+K16</f>
        <v>40.253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E5" sqref="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7.796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108" t="s">
        <v>19</v>
      </c>
      <c r="E2" s="109"/>
      <c r="F2" s="108" t="s">
        <v>3</v>
      </c>
      <c r="G2" s="109"/>
    </row>
    <row r="3" spans="2:13" ht="15.75" x14ac:dyDescent="0.25">
      <c r="B3" s="54"/>
      <c r="C3" s="28" t="s">
        <v>32</v>
      </c>
      <c r="D3" s="105" t="s">
        <v>68</v>
      </c>
      <c r="E3" s="107"/>
      <c r="F3" s="105" t="s">
        <v>74</v>
      </c>
      <c r="G3" s="107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102" t="s">
        <v>7</v>
      </c>
      <c r="G4" s="104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555510580</v>
      </c>
      <c r="D5" s="57">
        <v>6204680195</v>
      </c>
      <c r="E5" s="57">
        <v>53641</v>
      </c>
      <c r="F5" s="105" t="s">
        <v>20</v>
      </c>
      <c r="G5" s="107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102" t="s">
        <v>6</v>
      </c>
      <c r="F6" s="103"/>
      <c r="G6" s="104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58" t="s">
        <v>25</v>
      </c>
      <c r="D7" s="54">
        <v>22062017</v>
      </c>
      <c r="E7" s="105" t="s">
        <v>36</v>
      </c>
      <c r="F7" s="106"/>
      <c r="G7" s="107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102" t="s">
        <v>8</v>
      </c>
      <c r="E8" s="103"/>
      <c r="F8" s="103"/>
      <c r="G8" s="104"/>
      <c r="I8" s="39" t="s">
        <v>15</v>
      </c>
      <c r="J8" s="26">
        <f>+E5/1000</f>
        <v>53.640999999999998</v>
      </c>
      <c r="K8" s="8"/>
      <c r="L8" s="8"/>
      <c r="M8" s="38"/>
    </row>
    <row r="9" spans="2:13" ht="15.75" x14ac:dyDescent="0.25">
      <c r="B9" s="28" t="s">
        <v>9</v>
      </c>
      <c r="C9" s="33"/>
      <c r="D9" s="105" t="s">
        <v>39</v>
      </c>
      <c r="E9" s="106"/>
      <c r="F9" s="106"/>
      <c r="G9" s="107"/>
      <c r="I9" s="40">
        <v>1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5+5</f>
        <v>10</v>
      </c>
      <c r="K10" s="20">
        <f>+$J$8-I10</f>
        <v>52.640999999999998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7+8</f>
        <v>15</v>
      </c>
      <c r="K11" s="20">
        <f t="shared" ref="K11:K15" si="0">+$J$8-I11</f>
        <v>51.640999999999998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7+8</f>
        <v>15</v>
      </c>
      <c r="K12" s="20">
        <f t="shared" si="0"/>
        <v>50.640999999999998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9+13</f>
        <v>22</v>
      </c>
      <c r="K13" s="20">
        <f t="shared" si="0"/>
        <v>49.640999999999998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15+14</f>
        <v>29</v>
      </c>
      <c r="K14" s="20">
        <f t="shared" si="0"/>
        <v>48.640999999999998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10</v>
      </c>
      <c r="G15" s="51" t="s">
        <v>75</v>
      </c>
      <c r="I15" s="41">
        <v>6</v>
      </c>
      <c r="J15" s="19">
        <f>27+28</f>
        <v>55</v>
      </c>
      <c r="K15" s="20">
        <f t="shared" si="0"/>
        <v>47.640999999999998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15</v>
      </c>
      <c r="G16" s="51" t="s">
        <v>75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15</v>
      </c>
      <c r="G17" s="51" t="s">
        <v>76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22</v>
      </c>
      <c r="G18" s="51" t="s">
        <v>75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29</v>
      </c>
      <c r="G19" s="51" t="s">
        <v>75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55</v>
      </c>
      <c r="G20" s="51" t="s">
        <v>77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53.640999999999998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+K15</f>
        <v>47.640999999999998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E5" sqref="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108" t="s">
        <v>19</v>
      </c>
      <c r="E2" s="109"/>
      <c r="F2" s="108" t="s">
        <v>3</v>
      </c>
      <c r="G2" s="109"/>
    </row>
    <row r="3" spans="2:13" ht="15.75" x14ac:dyDescent="0.25">
      <c r="B3" s="54"/>
      <c r="C3" s="28" t="s">
        <v>32</v>
      </c>
      <c r="D3" s="105" t="s">
        <v>68</v>
      </c>
      <c r="E3" s="107"/>
      <c r="F3" s="105" t="s">
        <v>78</v>
      </c>
      <c r="G3" s="107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102" t="s">
        <v>7</v>
      </c>
      <c r="G4" s="104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555504027</v>
      </c>
      <c r="D5" s="57">
        <v>6204874182</v>
      </c>
      <c r="E5" s="57">
        <v>53615</v>
      </c>
      <c r="F5" s="105" t="s">
        <v>20</v>
      </c>
      <c r="G5" s="107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102" t="s">
        <v>6</v>
      </c>
      <c r="F6" s="103"/>
      <c r="G6" s="104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58" t="s">
        <v>25</v>
      </c>
      <c r="D7" s="54">
        <v>22062017</v>
      </c>
      <c r="E7" s="105" t="s">
        <v>36</v>
      </c>
      <c r="F7" s="106"/>
      <c r="G7" s="107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102" t="s">
        <v>8</v>
      </c>
      <c r="E8" s="103"/>
      <c r="F8" s="103"/>
      <c r="G8" s="104"/>
      <c r="I8" s="39" t="s">
        <v>15</v>
      </c>
      <c r="J8" s="26">
        <f>+E5/1000</f>
        <v>53.615000000000002</v>
      </c>
      <c r="K8" s="8"/>
      <c r="L8" s="8"/>
      <c r="M8" s="38"/>
    </row>
    <row r="9" spans="2:13" ht="15.75" x14ac:dyDescent="0.25">
      <c r="B9" s="28" t="s">
        <v>9</v>
      </c>
      <c r="C9" s="33"/>
      <c r="D9" s="105" t="s">
        <v>39</v>
      </c>
      <c r="E9" s="106"/>
      <c r="F9" s="106"/>
      <c r="G9" s="107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4+4</f>
        <v>8</v>
      </c>
      <c r="K10" s="20">
        <f>+$J$8-I10</f>
        <v>52.615000000000002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6+9</f>
        <v>15</v>
      </c>
      <c r="K11" s="20">
        <f t="shared" ref="K11:K16" si="0">+$J$8-I11</f>
        <v>51.615000000000002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9+10</f>
        <v>19</v>
      </c>
      <c r="K12" s="20">
        <f t="shared" si="0"/>
        <v>50.615000000000002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12+13</f>
        <v>25</v>
      </c>
      <c r="K13" s="20">
        <f t="shared" si="0"/>
        <v>49.615000000000002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15+22</f>
        <v>37</v>
      </c>
      <c r="K14" s="20">
        <f t="shared" si="0"/>
        <v>48.615000000000002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8</v>
      </c>
      <c r="G15" s="51" t="s">
        <v>75</v>
      </c>
      <c r="I15" s="41">
        <v>6</v>
      </c>
      <c r="J15" s="19">
        <f>20+23</f>
        <v>43</v>
      </c>
      <c r="K15" s="20">
        <f t="shared" si="0"/>
        <v>47.615000000000002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15</v>
      </c>
      <c r="G16" s="51" t="s">
        <v>75</v>
      </c>
      <c r="I16" s="41">
        <v>7</v>
      </c>
      <c r="J16" s="19">
        <f>32+37</f>
        <v>69</v>
      </c>
      <c r="K16" s="20">
        <f t="shared" si="0"/>
        <v>46.615000000000002</v>
      </c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19</v>
      </c>
      <c r="G17" s="51" t="s">
        <v>54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25</v>
      </c>
      <c r="G18" s="51" t="s">
        <v>54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37</v>
      </c>
      <c r="G19" s="51" t="s">
        <v>79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43</v>
      </c>
      <c r="G20" s="51" t="s">
        <v>54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7</v>
      </c>
      <c r="F21" s="50">
        <f t="shared" si="1"/>
        <v>69</v>
      </c>
      <c r="G21" s="51" t="s">
        <v>56</v>
      </c>
      <c r="I21" s="34"/>
      <c r="J21" s="14">
        <v>0</v>
      </c>
      <c r="K21" s="15"/>
      <c r="L21" s="21">
        <f>+J8</f>
        <v>53.615000000000002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+K16</f>
        <v>46.615000000000002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E5" sqref="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108" t="s">
        <v>19</v>
      </c>
      <c r="E2" s="109"/>
      <c r="F2" s="108" t="s">
        <v>3</v>
      </c>
      <c r="G2" s="109"/>
    </row>
    <row r="3" spans="2:13" ht="15.75" x14ac:dyDescent="0.25">
      <c r="B3" s="54"/>
      <c r="C3" s="28" t="s">
        <v>32</v>
      </c>
      <c r="D3" s="105" t="s">
        <v>68</v>
      </c>
      <c r="E3" s="107"/>
      <c r="F3" s="105" t="s">
        <v>80</v>
      </c>
      <c r="G3" s="107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102" t="s">
        <v>7</v>
      </c>
      <c r="G4" s="104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555548278</v>
      </c>
      <c r="D5" s="57">
        <v>6205045690</v>
      </c>
      <c r="E5" s="57">
        <v>54818</v>
      </c>
      <c r="F5" s="105" t="s">
        <v>20</v>
      </c>
      <c r="G5" s="107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102" t="s">
        <v>6</v>
      </c>
      <c r="F6" s="103"/>
      <c r="G6" s="104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49" t="s">
        <v>25</v>
      </c>
      <c r="D7" s="54">
        <v>22062017</v>
      </c>
      <c r="E7" s="105" t="s">
        <v>36</v>
      </c>
      <c r="F7" s="106"/>
      <c r="G7" s="107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102" t="s">
        <v>8</v>
      </c>
      <c r="E8" s="103"/>
      <c r="F8" s="103"/>
      <c r="G8" s="104"/>
      <c r="I8" s="39" t="s">
        <v>15</v>
      </c>
      <c r="J8" s="26">
        <f>+E5/1000</f>
        <v>54.817999999999998</v>
      </c>
      <c r="K8" s="8"/>
      <c r="L8" s="8"/>
      <c r="M8" s="38"/>
    </row>
    <row r="9" spans="2:13" ht="15.75" x14ac:dyDescent="0.25">
      <c r="B9" s="28" t="s">
        <v>9</v>
      </c>
      <c r="C9" s="33"/>
      <c r="D9" s="105" t="s">
        <v>39</v>
      </c>
      <c r="E9" s="106"/>
      <c r="F9" s="106"/>
      <c r="G9" s="107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7+7</f>
        <v>14</v>
      </c>
      <c r="K10" s="20">
        <f>+$J$8-I10</f>
        <v>53.817999999999998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6+7</f>
        <v>13</v>
      </c>
      <c r="K11" s="20">
        <f t="shared" ref="K11:K15" si="0">+$J$8-I11</f>
        <v>52.817999999999998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8+10</f>
        <v>18</v>
      </c>
      <c r="K12" s="20">
        <f t="shared" si="0"/>
        <v>51.817999999999998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16+17</f>
        <v>33</v>
      </c>
      <c r="K13" s="20">
        <f t="shared" si="0"/>
        <v>50.817999999999998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20+22</f>
        <v>42</v>
      </c>
      <c r="K14" s="20">
        <f t="shared" si="0"/>
        <v>49.817999999999998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14</v>
      </c>
      <c r="G15" s="51" t="s">
        <v>41</v>
      </c>
      <c r="I15" s="41">
        <v>6</v>
      </c>
      <c r="J15" s="19">
        <f>25+29</f>
        <v>54</v>
      </c>
      <c r="K15" s="20">
        <f t="shared" si="0"/>
        <v>48.817999999999998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13</v>
      </c>
      <c r="G16" s="51" t="s">
        <v>44</v>
      </c>
      <c r="I16" s="41"/>
      <c r="J16" s="19"/>
      <c r="K16" s="20"/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18</v>
      </c>
      <c r="G17" s="51" t="s">
        <v>44</v>
      </c>
      <c r="I17" s="41"/>
      <c r="J17" s="19"/>
      <c r="K17" s="20"/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33</v>
      </c>
      <c r="G18" s="51" t="s">
        <v>103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42</v>
      </c>
      <c r="G19" s="51" t="s">
        <v>103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54</v>
      </c>
      <c r="G20" s="51" t="s">
        <v>104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 t="s">
        <v>20</v>
      </c>
      <c r="I21" s="34"/>
      <c r="J21" s="14">
        <v>0</v>
      </c>
      <c r="K21" s="15"/>
      <c r="L21" s="21">
        <f>+J8</f>
        <v>54.817999999999998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 t="s">
        <v>20</v>
      </c>
      <c r="I22" s="34"/>
      <c r="J22" s="10">
        <v>0</v>
      </c>
      <c r="K22" s="11"/>
      <c r="L22" s="22">
        <f>+K15</f>
        <v>48.817999999999998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pageSetup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zoomScale="70" zoomScaleNormal="70" workbookViewId="0">
      <selection activeCell="E5" sqref="E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5" t="s">
        <v>1</v>
      </c>
      <c r="C2" s="13" t="s">
        <v>0</v>
      </c>
      <c r="D2" s="108" t="s">
        <v>19</v>
      </c>
      <c r="E2" s="109"/>
      <c r="F2" s="108" t="s">
        <v>3</v>
      </c>
      <c r="G2" s="109"/>
    </row>
    <row r="3" spans="2:13" ht="15.75" x14ac:dyDescent="0.25">
      <c r="B3" s="54"/>
      <c r="C3" s="28" t="s">
        <v>32</v>
      </c>
      <c r="D3" s="105" t="s">
        <v>68</v>
      </c>
      <c r="E3" s="107"/>
      <c r="F3" s="105" t="s">
        <v>81</v>
      </c>
      <c r="G3" s="107"/>
      <c r="K3" s="1" t="s">
        <v>30</v>
      </c>
    </row>
    <row r="4" spans="2:13" x14ac:dyDescent="0.25">
      <c r="B4" s="29" t="s">
        <v>2</v>
      </c>
      <c r="C4" s="29" t="s">
        <v>33</v>
      </c>
      <c r="D4" s="29" t="s">
        <v>34</v>
      </c>
      <c r="E4" s="29" t="s">
        <v>35</v>
      </c>
      <c r="F4" s="102" t="s">
        <v>7</v>
      </c>
      <c r="G4" s="104"/>
      <c r="K4" s="24" t="s">
        <v>20</v>
      </c>
      <c r="L4" s="25" t="s">
        <v>22</v>
      </c>
    </row>
    <row r="5" spans="2:13" ht="16.5" thickBot="1" x14ac:dyDescent="0.3">
      <c r="B5" s="28" t="s">
        <v>31</v>
      </c>
      <c r="C5" s="57">
        <v>555605614</v>
      </c>
      <c r="D5" s="57">
        <v>6205154663</v>
      </c>
      <c r="E5" s="57">
        <v>57797</v>
      </c>
      <c r="F5" s="105" t="s">
        <v>20</v>
      </c>
      <c r="G5" s="107"/>
      <c r="K5" s="23" t="s">
        <v>21</v>
      </c>
    </row>
    <row r="6" spans="2:13" x14ac:dyDescent="0.25">
      <c r="B6" s="30" t="s">
        <v>4</v>
      </c>
      <c r="C6" s="30" t="s">
        <v>5</v>
      </c>
      <c r="D6" s="30" t="s">
        <v>10</v>
      </c>
      <c r="E6" s="102" t="s">
        <v>6</v>
      </c>
      <c r="F6" s="103"/>
      <c r="G6" s="104"/>
      <c r="I6" s="35"/>
      <c r="J6" s="36"/>
      <c r="K6" s="36"/>
      <c r="L6" s="36"/>
      <c r="M6" s="37"/>
    </row>
    <row r="7" spans="2:13" ht="15.75" x14ac:dyDescent="0.25">
      <c r="B7" s="54" t="s">
        <v>20</v>
      </c>
      <c r="C7" s="58" t="s">
        <v>25</v>
      </c>
      <c r="D7" s="54">
        <v>22062017</v>
      </c>
      <c r="E7" s="105" t="s">
        <v>36</v>
      </c>
      <c r="F7" s="106"/>
      <c r="G7" s="107"/>
      <c r="I7" s="34"/>
      <c r="J7" s="8"/>
      <c r="K7" s="8"/>
      <c r="L7" s="8"/>
      <c r="M7" s="38"/>
    </row>
    <row r="8" spans="2:13" ht="30" x14ac:dyDescent="0.25">
      <c r="B8" s="52" t="s">
        <v>11</v>
      </c>
      <c r="C8" s="53"/>
      <c r="D8" s="102" t="s">
        <v>8</v>
      </c>
      <c r="E8" s="103"/>
      <c r="F8" s="103"/>
      <c r="G8" s="104"/>
      <c r="I8" s="39" t="s">
        <v>15</v>
      </c>
      <c r="J8" s="26">
        <f>+E5/1000</f>
        <v>57.796999999999997</v>
      </c>
      <c r="K8" s="8"/>
      <c r="L8" s="8"/>
      <c r="M8" s="38"/>
    </row>
    <row r="9" spans="2:13" ht="15.75" x14ac:dyDescent="0.25">
      <c r="B9" s="28" t="s">
        <v>9</v>
      </c>
      <c r="C9" s="33"/>
      <c r="D9" s="105" t="s">
        <v>39</v>
      </c>
      <c r="E9" s="106"/>
      <c r="F9" s="106"/>
      <c r="G9" s="107"/>
      <c r="I9" s="40" t="s">
        <v>12</v>
      </c>
      <c r="J9" s="2" t="s">
        <v>13</v>
      </c>
      <c r="K9" s="2" t="s">
        <v>14</v>
      </c>
      <c r="L9" s="8"/>
      <c r="M9" s="38"/>
    </row>
    <row r="10" spans="2:13" x14ac:dyDescent="0.25">
      <c r="B10" s="7"/>
      <c r="C10" s="5"/>
      <c r="D10" s="5"/>
      <c r="E10" s="5"/>
      <c r="F10" s="8"/>
      <c r="G10" s="4"/>
      <c r="I10" s="41">
        <v>1</v>
      </c>
      <c r="J10" s="19">
        <f>4+5</f>
        <v>9</v>
      </c>
      <c r="K10" s="20">
        <f>+$J$8-I10</f>
        <v>56.796999999999997</v>
      </c>
      <c r="L10" s="8"/>
      <c r="M10" s="38"/>
    </row>
    <row r="11" spans="2:13" ht="15.75" x14ac:dyDescent="0.25">
      <c r="B11" s="7"/>
      <c r="C11" s="3"/>
      <c r="D11" s="3"/>
      <c r="E11" s="3"/>
      <c r="F11" s="8"/>
      <c r="G11" s="6"/>
      <c r="I11" s="41">
        <v>2</v>
      </c>
      <c r="J11" s="19">
        <f>6+6</f>
        <v>12</v>
      </c>
      <c r="K11" s="20">
        <f t="shared" ref="K11:K14" si="0">+$J$8-I11</f>
        <v>55.796999999999997</v>
      </c>
      <c r="L11" s="8"/>
      <c r="M11" s="38"/>
    </row>
    <row r="12" spans="2:13" x14ac:dyDescent="0.25">
      <c r="B12" s="7"/>
      <c r="C12" s="8"/>
      <c r="D12" s="8"/>
      <c r="E12" s="8"/>
      <c r="F12" s="8"/>
      <c r="G12" s="9"/>
      <c r="I12" s="41">
        <v>3</v>
      </c>
      <c r="J12" s="19">
        <f>6+10</f>
        <v>16</v>
      </c>
      <c r="K12" s="20">
        <f t="shared" si="0"/>
        <v>54.796999999999997</v>
      </c>
      <c r="L12" s="8"/>
      <c r="M12" s="38"/>
    </row>
    <row r="13" spans="2:13" x14ac:dyDescent="0.25">
      <c r="B13" s="7"/>
      <c r="C13" s="8"/>
      <c r="D13" s="8"/>
      <c r="E13" s="8"/>
      <c r="F13" s="8"/>
      <c r="G13" s="9"/>
      <c r="I13" s="41">
        <v>4</v>
      </c>
      <c r="J13" s="19">
        <f>5+7</f>
        <v>12</v>
      </c>
      <c r="K13" s="20">
        <f t="shared" si="0"/>
        <v>53.796999999999997</v>
      </c>
      <c r="L13" s="8"/>
      <c r="M13" s="38"/>
    </row>
    <row r="14" spans="2:13" x14ac:dyDescent="0.25">
      <c r="B14" s="7"/>
      <c r="C14" s="8"/>
      <c r="D14" s="8"/>
      <c r="E14" s="27" t="s">
        <v>24</v>
      </c>
      <c r="F14" s="17" t="s">
        <v>23</v>
      </c>
      <c r="G14" s="12" t="s">
        <v>16</v>
      </c>
      <c r="I14" s="41">
        <v>5</v>
      </c>
      <c r="J14" s="19">
        <f>11+13</f>
        <v>24</v>
      </c>
      <c r="K14" s="20">
        <f t="shared" si="0"/>
        <v>52.796999999999997</v>
      </c>
      <c r="L14" s="8"/>
      <c r="M14" s="38"/>
    </row>
    <row r="15" spans="2:13" x14ac:dyDescent="0.25">
      <c r="B15" s="7"/>
      <c r="C15" s="8"/>
      <c r="D15" s="8"/>
      <c r="E15" s="50">
        <f>+I10</f>
        <v>1</v>
      </c>
      <c r="F15" s="50">
        <f>+J10</f>
        <v>9</v>
      </c>
      <c r="G15" s="51" t="s">
        <v>41</v>
      </c>
      <c r="I15" s="41">
        <v>6</v>
      </c>
      <c r="J15" s="19">
        <f>15+20</f>
        <v>35</v>
      </c>
      <c r="K15" s="20">
        <f>+$J$8-I15</f>
        <v>51.796999999999997</v>
      </c>
      <c r="L15" s="8"/>
      <c r="M15" s="38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12</v>
      </c>
      <c r="G16" s="51" t="s">
        <v>82</v>
      </c>
      <c r="I16" s="41">
        <v>7</v>
      </c>
      <c r="J16" s="19">
        <f>16+22</f>
        <v>38</v>
      </c>
      <c r="K16" s="20">
        <f>+$J$8-I16</f>
        <v>50.796999999999997</v>
      </c>
      <c r="L16" s="8"/>
      <c r="M16" s="38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16</v>
      </c>
      <c r="G17" s="51" t="s">
        <v>48</v>
      </c>
      <c r="I17" s="41">
        <v>8</v>
      </c>
      <c r="J17" s="19">
        <f>27+32</f>
        <v>59</v>
      </c>
      <c r="K17" s="20">
        <f>+$J$8-I17</f>
        <v>49.796999999999997</v>
      </c>
      <c r="L17" s="8"/>
      <c r="M17" s="38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12</v>
      </c>
      <c r="G18" s="51" t="s">
        <v>46</v>
      </c>
      <c r="I18" s="41"/>
      <c r="J18" s="19"/>
      <c r="K18" s="20"/>
      <c r="L18" s="8"/>
      <c r="M18" s="38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24</v>
      </c>
      <c r="G19" s="51" t="s">
        <v>57</v>
      </c>
      <c r="I19" s="41"/>
      <c r="J19" s="19"/>
      <c r="K19" s="20"/>
      <c r="L19" s="8"/>
      <c r="M19" s="38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35</v>
      </c>
      <c r="G20" s="51" t="s">
        <v>42</v>
      </c>
      <c r="I20" s="41"/>
      <c r="J20" s="19"/>
      <c r="K20" s="20"/>
      <c r="L20" s="8"/>
      <c r="M20" s="38"/>
    </row>
    <row r="21" spans="2:13" x14ac:dyDescent="0.25">
      <c r="B21" s="7"/>
      <c r="C21" s="8"/>
      <c r="D21" s="8"/>
      <c r="E21" s="50">
        <f t="shared" si="1"/>
        <v>7</v>
      </c>
      <c r="F21" s="50">
        <f t="shared" si="1"/>
        <v>38</v>
      </c>
      <c r="G21" s="51" t="s">
        <v>42</v>
      </c>
      <c r="I21" s="34"/>
      <c r="J21" s="14">
        <v>0</v>
      </c>
      <c r="K21" s="15"/>
      <c r="L21" s="21">
        <f>+J8</f>
        <v>57.796999999999997</v>
      </c>
      <c r="M21" s="42" t="s">
        <v>17</v>
      </c>
    </row>
    <row r="22" spans="2:13" x14ac:dyDescent="0.25">
      <c r="B22" s="7"/>
      <c r="C22" s="8"/>
      <c r="D22" s="8"/>
      <c r="E22" s="50">
        <f t="shared" si="1"/>
        <v>8</v>
      </c>
      <c r="F22" s="50">
        <f t="shared" si="1"/>
        <v>59</v>
      </c>
      <c r="G22" s="51" t="s">
        <v>42</v>
      </c>
      <c r="I22" s="34"/>
      <c r="J22" s="10">
        <v>0</v>
      </c>
      <c r="K22" s="11"/>
      <c r="L22" s="22">
        <f>+K17</f>
        <v>49.796999999999997</v>
      </c>
      <c r="M22" s="43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 t="s">
        <v>20</v>
      </c>
      <c r="I23" s="34"/>
      <c r="J23" s="8"/>
      <c r="K23" s="8"/>
      <c r="L23" s="16"/>
      <c r="M23" s="44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 t="s">
        <v>20</v>
      </c>
      <c r="I24" s="34"/>
      <c r="J24" s="8"/>
      <c r="K24" s="8"/>
      <c r="L24" s="8"/>
      <c r="M24" s="44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 t="s">
        <v>20</v>
      </c>
      <c r="I25" s="34" t="s">
        <v>28</v>
      </c>
      <c r="J25" s="8"/>
      <c r="K25" s="8"/>
      <c r="L25" s="8"/>
      <c r="M25" s="38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 t="s">
        <v>20</v>
      </c>
      <c r="I26" s="45"/>
      <c r="J26" s="46"/>
      <c r="K26" s="46"/>
      <c r="L26" s="46"/>
      <c r="M26" s="47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29</v>
      </c>
    </row>
    <row r="30" spans="2:13" x14ac:dyDescent="0.25">
      <c r="B30" s="1" t="s">
        <v>26</v>
      </c>
    </row>
    <row r="31" spans="2:13" x14ac:dyDescent="0.25">
      <c r="B31" s="1" t="s">
        <v>27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1</vt:i4>
      </vt:variant>
    </vt:vector>
  </HeadingPairs>
  <TitlesOfParts>
    <vt:vector size="26" baseType="lpstr">
      <vt:lpstr>CA_01</vt:lpstr>
      <vt:lpstr>CA_02</vt:lpstr>
      <vt:lpstr>CA_03</vt:lpstr>
      <vt:lpstr>CA_04</vt:lpstr>
      <vt:lpstr>CA_05</vt:lpstr>
      <vt:lpstr>CA_06</vt:lpstr>
      <vt:lpstr>CA_07 </vt:lpstr>
      <vt:lpstr>CA_08</vt:lpstr>
      <vt:lpstr>CA_09</vt:lpstr>
      <vt:lpstr>CA_10</vt:lpstr>
      <vt:lpstr>CA_11</vt:lpstr>
      <vt:lpstr>CA_12</vt:lpstr>
      <vt:lpstr>CA_13</vt:lpstr>
      <vt:lpstr>SL_14</vt:lpstr>
      <vt:lpstr>CA_14</vt:lpstr>
      <vt:lpstr>CA_15</vt:lpstr>
      <vt:lpstr>CA_16</vt:lpstr>
      <vt:lpstr>CA_17</vt:lpstr>
      <vt:lpstr>CA_18</vt:lpstr>
      <vt:lpstr>CA_19</vt:lpstr>
      <vt:lpstr>CA_20</vt:lpstr>
      <vt:lpstr>CA_21</vt:lpstr>
      <vt:lpstr>CA_22</vt:lpstr>
      <vt:lpstr>CA_23</vt:lpstr>
      <vt:lpstr>CA_24</vt:lpstr>
      <vt:lpstr>CA_01!Área_de_impresión</vt:lpstr>
    </vt:vector>
  </TitlesOfParts>
  <Company>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Víctor H. Umpiérrez</cp:lastModifiedBy>
  <cp:lastPrinted>2016-09-27T08:14:19Z</cp:lastPrinted>
  <dcterms:created xsi:type="dcterms:W3CDTF">2016-09-19T11:10:50Z</dcterms:created>
  <dcterms:modified xsi:type="dcterms:W3CDTF">2017-07-28T05:57:39Z</dcterms:modified>
</cp:coreProperties>
</file>