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S C\"/>
    </mc:Choice>
  </mc:AlternateContent>
  <bookViews>
    <workbookView xWindow="0" yWindow="0" windowWidth="18315" windowHeight="11520" firstSheet="10" activeTab="18"/>
  </bookViews>
  <sheets>
    <sheet name="C_001" sheetId="1" r:id="rId1"/>
    <sheet name="C_002" sheetId="2" r:id="rId2"/>
    <sheet name="C_003" sheetId="3" r:id="rId3"/>
    <sheet name="C_21" sheetId="4" r:id="rId4"/>
    <sheet name="C_22" sheetId="5" r:id="rId5"/>
    <sheet name="C_23" sheetId="6" r:id="rId6"/>
    <sheet name="C_24 " sheetId="7" r:id="rId7"/>
    <sheet name="C_25" sheetId="8" r:id="rId8"/>
    <sheet name="C_26" sheetId="9" r:id="rId9"/>
    <sheet name="C_27" sheetId="10" r:id="rId10"/>
    <sheet name="C_28" sheetId="11" r:id="rId11"/>
    <sheet name="C_29" sheetId="12" r:id="rId12"/>
    <sheet name="C_31" sheetId="13" r:id="rId13"/>
    <sheet name="SL_14" sheetId="14" state="hidden" r:id="rId14"/>
    <sheet name="C_32" sheetId="41" r:id="rId15"/>
    <sheet name="C_33" sheetId="15" r:id="rId16"/>
    <sheet name="C_34" sheetId="16" r:id="rId17"/>
    <sheet name="C_35" sheetId="17" r:id="rId18"/>
    <sheet name="C_36" sheetId="18" r:id="rId19"/>
  </sheets>
  <definedNames>
    <definedName name="_xlnm.Print_Area" localSheetId="0">C_001!$A$1:$G$28</definedName>
  </definedNames>
  <calcPr calcId="171027"/>
</workbook>
</file>

<file path=xl/calcChain.xml><?xml version="1.0" encoding="utf-8"?>
<calcChain xmlns="http://schemas.openxmlformats.org/spreadsheetml/2006/main">
  <c r="E15" i="7" l="1"/>
  <c r="C7" i="3" l="1"/>
  <c r="J17" i="3"/>
  <c r="J16" i="3"/>
  <c r="J15" i="3"/>
  <c r="J14" i="3"/>
  <c r="J13" i="3"/>
  <c r="J12" i="3"/>
  <c r="J11" i="3"/>
  <c r="J10" i="3"/>
  <c r="J17" i="2"/>
  <c r="J16" i="2"/>
  <c r="J15" i="2"/>
  <c r="J14" i="2"/>
  <c r="J13" i="2"/>
  <c r="J12" i="2"/>
  <c r="J11" i="2"/>
  <c r="J10" i="2"/>
  <c r="J16" i="1"/>
  <c r="J15" i="1"/>
  <c r="J14" i="1"/>
  <c r="J13" i="1"/>
  <c r="J12" i="1"/>
  <c r="J11" i="1"/>
  <c r="J10" i="1"/>
  <c r="J15" i="4" l="1"/>
  <c r="J14" i="4"/>
  <c r="J13" i="4"/>
  <c r="J12" i="4"/>
  <c r="J11" i="4"/>
  <c r="J10" i="4"/>
  <c r="J15" i="5"/>
  <c r="J14" i="5"/>
  <c r="J13" i="5"/>
  <c r="J12" i="5"/>
  <c r="J11" i="5"/>
  <c r="J10" i="5"/>
  <c r="J17" i="6"/>
  <c r="J16" i="6"/>
  <c r="J15" i="6"/>
  <c r="J14" i="6"/>
  <c r="J13" i="6"/>
  <c r="J12" i="6"/>
  <c r="J11" i="6"/>
  <c r="J10" i="6"/>
  <c r="J15" i="7"/>
  <c r="J16" i="7"/>
  <c r="J14" i="7"/>
  <c r="J13" i="7"/>
  <c r="J12" i="7"/>
  <c r="J11" i="7"/>
  <c r="J10" i="7"/>
  <c r="J15" i="8"/>
  <c r="J14" i="8"/>
  <c r="J13" i="8"/>
  <c r="J12" i="8"/>
  <c r="J11" i="8"/>
  <c r="J10" i="8"/>
  <c r="J16" i="9"/>
  <c r="J15" i="9"/>
  <c r="J14" i="9"/>
  <c r="J13" i="9"/>
  <c r="J12" i="9"/>
  <c r="J11" i="9"/>
  <c r="J10" i="9"/>
  <c r="J19" i="10"/>
  <c r="J18" i="10"/>
  <c r="J17" i="10"/>
  <c r="J16" i="10"/>
  <c r="J15" i="10"/>
  <c r="J14" i="10"/>
  <c r="J13" i="10"/>
  <c r="J12" i="10"/>
  <c r="J11" i="10"/>
  <c r="J10" i="10"/>
  <c r="J18" i="11"/>
  <c r="J17" i="11"/>
  <c r="J16" i="11"/>
  <c r="J15" i="11"/>
  <c r="J14" i="11"/>
  <c r="J13" i="11"/>
  <c r="J12" i="11"/>
  <c r="J11" i="11"/>
  <c r="J10" i="11"/>
  <c r="J16" i="12"/>
  <c r="J15" i="12"/>
  <c r="J14" i="12"/>
  <c r="J13" i="12"/>
  <c r="J12" i="12"/>
  <c r="J11" i="12"/>
  <c r="J10" i="12"/>
  <c r="J12" i="13"/>
  <c r="J11" i="13"/>
  <c r="J10" i="13"/>
  <c r="J16" i="41"/>
  <c r="J15" i="41"/>
  <c r="J14" i="41"/>
  <c r="J13" i="41"/>
  <c r="J12" i="41"/>
  <c r="J11" i="41"/>
  <c r="J10" i="41"/>
  <c r="J15" i="15"/>
  <c r="J14" i="15"/>
  <c r="J13" i="15"/>
  <c r="J12" i="15"/>
  <c r="J11" i="15"/>
  <c r="J10" i="15"/>
  <c r="J16" i="16"/>
  <c r="J15" i="16"/>
  <c r="J14" i="16"/>
  <c r="J13" i="16"/>
  <c r="J12" i="16"/>
  <c r="J11" i="16"/>
  <c r="J10" i="16"/>
  <c r="J16" i="17"/>
  <c r="J15" i="17"/>
  <c r="J14" i="17"/>
  <c r="J13" i="17"/>
  <c r="J12" i="17"/>
  <c r="J11" i="17"/>
  <c r="J10" i="17"/>
  <c r="J17" i="18"/>
  <c r="J16" i="18"/>
  <c r="J15" i="18"/>
  <c r="J14" i="18"/>
  <c r="J13" i="18"/>
  <c r="J12" i="18"/>
  <c r="J11" i="18"/>
  <c r="J10" i="18"/>
  <c r="E19" i="18" l="1"/>
  <c r="E20" i="18"/>
  <c r="E21" i="18"/>
  <c r="E22" i="18"/>
  <c r="E23" i="18"/>
  <c r="E24" i="18"/>
  <c r="F23" i="41"/>
  <c r="F22" i="41"/>
  <c r="F17" i="41"/>
  <c r="F16" i="41"/>
  <c r="F15" i="41"/>
  <c r="F26" i="41"/>
  <c r="E26" i="41"/>
  <c r="E25" i="41"/>
  <c r="F24" i="41"/>
  <c r="E24" i="41"/>
  <c r="E23" i="41"/>
  <c r="E22" i="41"/>
  <c r="E21" i="41"/>
  <c r="F25" i="41"/>
  <c r="F20" i="41"/>
  <c r="E20" i="41"/>
  <c r="E19" i="41"/>
  <c r="E18" i="41"/>
  <c r="E17" i="41"/>
  <c r="F21" i="41"/>
  <c r="E16" i="41"/>
  <c r="E15" i="41"/>
  <c r="F19" i="41"/>
  <c r="F18" i="41"/>
  <c r="J8" i="41"/>
  <c r="K13" i="41" l="1"/>
  <c r="K10" i="41"/>
  <c r="K14" i="41"/>
  <c r="K16" i="41"/>
  <c r="L22" i="41" s="1"/>
  <c r="L21" i="41"/>
  <c r="K11" i="41"/>
  <c r="K12" i="41"/>
  <c r="K15" i="41"/>
  <c r="F26" i="18" l="1"/>
  <c r="E26" i="18"/>
  <c r="F25" i="18"/>
  <c r="E25" i="18"/>
  <c r="F24" i="18"/>
  <c r="F23" i="18"/>
  <c r="F22" i="18"/>
  <c r="F21" i="18"/>
  <c r="F20" i="18"/>
  <c r="E18" i="18"/>
  <c r="F17" i="18"/>
  <c r="E17" i="18"/>
  <c r="F16" i="18"/>
  <c r="E16" i="18"/>
  <c r="E15" i="18"/>
  <c r="F19" i="18"/>
  <c r="F18" i="18"/>
  <c r="F15" i="18"/>
  <c r="J8" i="18"/>
  <c r="K18" i="18" l="1"/>
  <c r="L22" i="18" s="1"/>
  <c r="K15" i="18"/>
  <c r="K14" i="18"/>
  <c r="K17" i="18"/>
  <c r="K16" i="18"/>
  <c r="K13" i="18"/>
  <c r="K11" i="18"/>
  <c r="K10" i="18"/>
  <c r="L21" i="18"/>
  <c r="K12" i="18"/>
  <c r="J13" i="14"/>
  <c r="J14" i="14"/>
  <c r="J15" i="14"/>
  <c r="J16" i="14"/>
  <c r="J17" i="14"/>
  <c r="J18" i="14"/>
  <c r="J19" i="14"/>
  <c r="J20" i="14"/>
  <c r="J12" i="14"/>
  <c r="J11" i="14"/>
  <c r="J10" i="14"/>
  <c r="J8" i="17" l="1"/>
  <c r="J8" i="16"/>
  <c r="J8" i="15"/>
  <c r="J8" i="14"/>
  <c r="J8" i="13"/>
  <c r="J8" i="12"/>
  <c r="K16" i="12" s="1"/>
  <c r="L22" i="12" s="1"/>
  <c r="J8" i="11"/>
  <c r="J8" i="10"/>
  <c r="J8" i="9"/>
  <c r="J8" i="8"/>
  <c r="J8" i="7"/>
  <c r="K17" i="7" s="1"/>
  <c r="L22" i="7" s="1"/>
  <c r="J8" i="6"/>
  <c r="J8" i="5"/>
  <c r="K15" i="5" s="1"/>
  <c r="L22" i="5" s="1"/>
  <c r="J8" i="4"/>
  <c r="K15" i="4" s="1"/>
  <c r="L22" i="4" s="1"/>
  <c r="J8" i="3"/>
  <c r="J8" i="2"/>
  <c r="C7" i="2" s="1"/>
  <c r="J8" i="1"/>
  <c r="C7" i="1" s="1"/>
  <c r="K16" i="1" l="1"/>
  <c r="L22" i="1" s="1"/>
  <c r="K17" i="3"/>
  <c r="L22" i="3" s="1"/>
  <c r="K16" i="3"/>
  <c r="K15" i="3"/>
  <c r="K17" i="6"/>
  <c r="L22" i="6" s="1"/>
  <c r="K16" i="6"/>
  <c r="K14" i="7"/>
  <c r="K16" i="7"/>
  <c r="K15" i="7"/>
  <c r="K19" i="10"/>
  <c r="L22" i="10" s="1"/>
  <c r="K17" i="10"/>
  <c r="K18" i="10"/>
  <c r="K16" i="10"/>
  <c r="K15" i="9"/>
  <c r="K16" i="9"/>
  <c r="L22" i="9" s="1"/>
  <c r="K18" i="11"/>
  <c r="L22" i="11" s="1"/>
  <c r="K17" i="11"/>
  <c r="K16" i="17"/>
  <c r="K17" i="17"/>
  <c r="L22" i="17" s="1"/>
  <c r="K14" i="8"/>
  <c r="K15" i="8"/>
  <c r="L22" i="8" s="1"/>
  <c r="K17" i="16"/>
  <c r="L22" i="16" s="1"/>
  <c r="K16" i="16"/>
  <c r="K15" i="16"/>
  <c r="K14" i="16"/>
  <c r="K14" i="6"/>
  <c r="K15" i="6"/>
  <c r="K17" i="2"/>
  <c r="L22" i="2" s="1"/>
  <c r="K16" i="2"/>
  <c r="F26" i="17"/>
  <c r="E26" i="17"/>
  <c r="F25" i="17"/>
  <c r="E25" i="17"/>
  <c r="F24" i="17"/>
  <c r="E24" i="17"/>
  <c r="F23" i="17"/>
  <c r="E23" i="17"/>
  <c r="F22" i="17"/>
  <c r="E22" i="17"/>
  <c r="L21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K15" i="17"/>
  <c r="F15" i="17"/>
  <c r="E15" i="17"/>
  <c r="K14" i="17"/>
  <c r="K13" i="17"/>
  <c r="K12" i="17"/>
  <c r="K11" i="17"/>
  <c r="K10" i="17"/>
  <c r="F26" i="16"/>
  <c r="E26" i="16"/>
  <c r="F25" i="16"/>
  <c r="E25" i="16"/>
  <c r="F24" i="16"/>
  <c r="E24" i="16"/>
  <c r="F23" i="16"/>
  <c r="E23" i="16"/>
  <c r="F22" i="16"/>
  <c r="E22" i="16"/>
  <c r="L21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K13" i="16"/>
  <c r="K12" i="16"/>
  <c r="K11" i="16"/>
  <c r="K10" i="16"/>
  <c r="F26" i="15"/>
  <c r="E26" i="15"/>
  <c r="F25" i="15"/>
  <c r="E25" i="15"/>
  <c r="F24" i="15"/>
  <c r="E24" i="15"/>
  <c r="F23" i="15"/>
  <c r="E23" i="15"/>
  <c r="F22" i="15"/>
  <c r="E22" i="15"/>
  <c r="L21" i="15"/>
  <c r="F21" i="15"/>
  <c r="E21" i="15"/>
  <c r="F20" i="15"/>
  <c r="E20" i="15"/>
  <c r="F19" i="15"/>
  <c r="E19" i="15"/>
  <c r="F18" i="15"/>
  <c r="E18" i="15"/>
  <c r="F17" i="15"/>
  <c r="E17" i="15"/>
  <c r="K16" i="15"/>
  <c r="L22" i="15" s="1"/>
  <c r="F16" i="15"/>
  <c r="E16" i="15"/>
  <c r="K15" i="15"/>
  <c r="F15" i="15"/>
  <c r="E15" i="15"/>
  <c r="K14" i="15"/>
  <c r="K13" i="15"/>
  <c r="K12" i="15"/>
  <c r="K11" i="15"/>
  <c r="K10" i="15"/>
  <c r="F26" i="14"/>
  <c r="E26" i="14"/>
  <c r="F25" i="14"/>
  <c r="E25" i="14"/>
  <c r="F24" i="14"/>
  <c r="E24" i="14"/>
  <c r="F23" i="14"/>
  <c r="E23" i="14"/>
  <c r="F22" i="14"/>
  <c r="E22" i="14"/>
  <c r="L21" i="14"/>
  <c r="F21" i="14"/>
  <c r="E21" i="14"/>
  <c r="K20" i="14"/>
  <c r="L22" i="14" s="1"/>
  <c r="F20" i="14"/>
  <c r="E20" i="14"/>
  <c r="K19" i="14"/>
  <c r="F19" i="14"/>
  <c r="E19" i="14"/>
  <c r="K18" i="14"/>
  <c r="F18" i="14"/>
  <c r="E18" i="14"/>
  <c r="K17" i="14"/>
  <c r="F17" i="14"/>
  <c r="E17" i="14"/>
  <c r="K16" i="14"/>
  <c r="F16" i="14"/>
  <c r="E16" i="14"/>
  <c r="K15" i="14"/>
  <c r="F15" i="14"/>
  <c r="E15" i="14"/>
  <c r="K14" i="14"/>
  <c r="K13" i="14"/>
  <c r="K12" i="14"/>
  <c r="K11" i="14"/>
  <c r="K10" i="14"/>
  <c r="F26" i="13"/>
  <c r="E26" i="13"/>
  <c r="F25" i="13"/>
  <c r="E25" i="13"/>
  <c r="F24" i="13"/>
  <c r="E24" i="13"/>
  <c r="F23" i="13"/>
  <c r="E23" i="13"/>
  <c r="F22" i="13"/>
  <c r="E22" i="13"/>
  <c r="L21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K12" i="13"/>
  <c r="L22" i="13" s="1"/>
  <c r="K11" i="13"/>
  <c r="K10" i="13"/>
  <c r="F26" i="12"/>
  <c r="E26" i="12"/>
  <c r="F25" i="12"/>
  <c r="E25" i="12"/>
  <c r="F24" i="12"/>
  <c r="E24" i="12"/>
  <c r="F23" i="12"/>
  <c r="E23" i="12"/>
  <c r="F22" i="12"/>
  <c r="E22" i="12"/>
  <c r="L21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K15" i="12"/>
  <c r="F15" i="12"/>
  <c r="E15" i="12"/>
  <c r="K14" i="12"/>
  <c r="K13" i="12"/>
  <c r="K12" i="12"/>
  <c r="K11" i="12"/>
  <c r="K10" i="12"/>
  <c r="F26" i="11"/>
  <c r="E26" i="11"/>
  <c r="F25" i="11"/>
  <c r="E25" i="11"/>
  <c r="F24" i="11"/>
  <c r="E24" i="11"/>
  <c r="F23" i="11"/>
  <c r="E23" i="11"/>
  <c r="F22" i="11"/>
  <c r="E22" i="11"/>
  <c r="L21" i="11"/>
  <c r="F21" i="11"/>
  <c r="E21" i="11"/>
  <c r="F20" i="11"/>
  <c r="E20" i="11"/>
  <c r="F19" i="11"/>
  <c r="E19" i="11"/>
  <c r="F18" i="11"/>
  <c r="E18" i="11"/>
  <c r="F17" i="11"/>
  <c r="E17" i="11"/>
  <c r="K16" i="11"/>
  <c r="F16" i="11"/>
  <c r="E16" i="11"/>
  <c r="K15" i="11"/>
  <c r="F15" i="11"/>
  <c r="E15" i="11"/>
  <c r="K14" i="11"/>
  <c r="K13" i="11"/>
  <c r="K12" i="11"/>
  <c r="K11" i="11"/>
  <c r="K10" i="11"/>
  <c r="F26" i="10"/>
  <c r="E26" i="10"/>
  <c r="F25" i="10"/>
  <c r="E25" i="10"/>
  <c r="F24" i="10"/>
  <c r="E24" i="10"/>
  <c r="F23" i="10"/>
  <c r="E23" i="10"/>
  <c r="F22" i="10"/>
  <c r="E22" i="10"/>
  <c r="L21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K15" i="10"/>
  <c r="F15" i="10"/>
  <c r="E15" i="10"/>
  <c r="K14" i="10"/>
  <c r="K13" i="10"/>
  <c r="K12" i="10"/>
  <c r="K11" i="10"/>
  <c r="K10" i="10"/>
  <c r="F26" i="9"/>
  <c r="E26" i="9"/>
  <c r="F25" i="9"/>
  <c r="E25" i="9"/>
  <c r="F24" i="9"/>
  <c r="E24" i="9"/>
  <c r="F23" i="9"/>
  <c r="E23" i="9"/>
  <c r="F22" i="9"/>
  <c r="E22" i="9"/>
  <c r="L21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K14" i="9"/>
  <c r="K13" i="9"/>
  <c r="K12" i="9"/>
  <c r="K11" i="9"/>
  <c r="K10" i="9"/>
  <c r="F26" i="8"/>
  <c r="E26" i="8"/>
  <c r="F25" i="8"/>
  <c r="E25" i="8"/>
  <c r="F24" i="8"/>
  <c r="E24" i="8"/>
  <c r="F23" i="8"/>
  <c r="E23" i="8"/>
  <c r="F22" i="8"/>
  <c r="E22" i="8"/>
  <c r="L21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K13" i="8"/>
  <c r="K12" i="8"/>
  <c r="K11" i="8"/>
  <c r="K10" i="8"/>
  <c r="F26" i="7"/>
  <c r="E26" i="7"/>
  <c r="F25" i="7"/>
  <c r="E25" i="7"/>
  <c r="F24" i="7"/>
  <c r="E24" i="7"/>
  <c r="F23" i="7"/>
  <c r="E23" i="7"/>
  <c r="F22" i="7"/>
  <c r="E22" i="7"/>
  <c r="L21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K13" i="7"/>
  <c r="K12" i="7"/>
  <c r="K11" i="7"/>
  <c r="K10" i="7"/>
  <c r="F26" i="6"/>
  <c r="E26" i="6"/>
  <c r="F25" i="6"/>
  <c r="E25" i="6"/>
  <c r="F24" i="6"/>
  <c r="E24" i="6"/>
  <c r="F23" i="6"/>
  <c r="E23" i="6"/>
  <c r="F22" i="6"/>
  <c r="E22" i="6"/>
  <c r="L21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K13" i="6"/>
  <c r="K12" i="6"/>
  <c r="K11" i="6"/>
  <c r="K10" i="6"/>
  <c r="F26" i="5"/>
  <c r="E26" i="5"/>
  <c r="F25" i="5"/>
  <c r="E25" i="5"/>
  <c r="F24" i="5"/>
  <c r="E24" i="5"/>
  <c r="F23" i="5"/>
  <c r="E23" i="5"/>
  <c r="F22" i="5"/>
  <c r="E22" i="5"/>
  <c r="L21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K14" i="5"/>
  <c r="K13" i="5"/>
  <c r="K12" i="5"/>
  <c r="K11" i="5"/>
  <c r="K10" i="5"/>
  <c r="F26" i="4"/>
  <c r="E26" i="4"/>
  <c r="F25" i="4"/>
  <c r="E25" i="4"/>
  <c r="F24" i="4"/>
  <c r="E24" i="4"/>
  <c r="F23" i="4"/>
  <c r="E23" i="4"/>
  <c r="F22" i="4"/>
  <c r="E22" i="4"/>
  <c r="L21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K14" i="4"/>
  <c r="K13" i="4"/>
  <c r="K12" i="4"/>
  <c r="K11" i="4"/>
  <c r="K10" i="4"/>
  <c r="F26" i="3"/>
  <c r="E26" i="3"/>
  <c r="F25" i="3"/>
  <c r="E25" i="3"/>
  <c r="F24" i="3"/>
  <c r="E24" i="3"/>
  <c r="F23" i="3"/>
  <c r="E23" i="3"/>
  <c r="F22" i="3"/>
  <c r="E22" i="3"/>
  <c r="L21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K14" i="3"/>
  <c r="K13" i="3"/>
  <c r="K12" i="3"/>
  <c r="K11" i="3"/>
  <c r="K10" i="3"/>
  <c r="F26" i="2"/>
  <c r="E26" i="2"/>
  <c r="F25" i="2"/>
  <c r="E25" i="2"/>
  <c r="F24" i="2"/>
  <c r="E24" i="2"/>
  <c r="F23" i="2"/>
  <c r="E23" i="2"/>
  <c r="F22" i="2"/>
  <c r="E22" i="2"/>
  <c r="L21" i="2"/>
  <c r="F21" i="2"/>
  <c r="E21" i="2"/>
  <c r="F20" i="2"/>
  <c r="E20" i="2"/>
  <c r="F19" i="2"/>
  <c r="E19" i="2"/>
  <c r="F18" i="2"/>
  <c r="E18" i="2"/>
  <c r="F17" i="2"/>
  <c r="E17" i="2"/>
  <c r="F16" i="2"/>
  <c r="E16" i="2"/>
  <c r="K15" i="2"/>
  <c r="F15" i="2"/>
  <c r="E15" i="2"/>
  <c r="K14" i="2"/>
  <c r="K13" i="2"/>
  <c r="K12" i="2"/>
  <c r="K11" i="2"/>
  <c r="K10" i="2"/>
  <c r="L21" i="1" l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E19" i="1" l="1"/>
  <c r="E18" i="1"/>
  <c r="E17" i="1"/>
  <c r="E16" i="1"/>
  <c r="E15" i="1"/>
  <c r="F19" i="1"/>
  <c r="F18" i="1"/>
  <c r="F17" i="1"/>
  <c r="F16" i="1"/>
  <c r="F15" i="1"/>
  <c r="K10" i="1" l="1"/>
  <c r="K15" i="1"/>
  <c r="K11" i="1"/>
  <c r="K12" i="1"/>
  <c r="K13" i="1"/>
  <c r="K14" i="1"/>
</calcChain>
</file>

<file path=xl/sharedStrings.xml><?xml version="1.0" encoding="utf-8"?>
<sst xmlns="http://schemas.openxmlformats.org/spreadsheetml/2006/main" count="1023" uniqueCount="95">
  <si>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</si>
  <si>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</si>
  <si>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</si>
  <si>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</si>
  <si>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</si>
  <si>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</si>
  <si>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</si>
  <si>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</si>
  <si>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</si>
  <si>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</si>
  <si>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</si>
  <si>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</si>
  <si>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</si>
  <si>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</si>
  <si>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</si>
  <si>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</si>
  <si>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</si>
  <si>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</si>
  <si>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</si>
  <si>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</si>
  <si>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</si>
  <si>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</si>
  <si>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</si>
  <si>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</si>
  <si>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</si>
  <si>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-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</si>
  <si>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</si>
  <si>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</si>
  <si>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</si>
  <si>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</si>
  <si>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</si>
  <si>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 xml:space="preserve">UTM 84-21S       </t>
  </si>
  <si>
    <t>Stage 2</t>
  </si>
  <si>
    <t>X-coord</t>
  </si>
  <si>
    <t>Y-coord</t>
  </si>
  <si>
    <t>Z-coord</t>
  </si>
  <si>
    <t>LEMAC</t>
  </si>
  <si>
    <t>s</t>
  </si>
  <si>
    <t>SL_14</t>
  </si>
  <si>
    <t>Hand Auger and Testing</t>
  </si>
  <si>
    <t>ML-76A</t>
  </si>
  <si>
    <t>Cl</t>
  </si>
  <si>
    <t>fsaCl</t>
  </si>
  <si>
    <t>clSa</t>
  </si>
  <si>
    <t>saCl</t>
  </si>
  <si>
    <t>siCl</t>
  </si>
  <si>
    <t>Si</t>
  </si>
  <si>
    <t>fsasiCl</t>
  </si>
  <si>
    <t>km 51……..km 59</t>
  </si>
  <si>
    <t>Sa</t>
  </si>
  <si>
    <t>saSi</t>
  </si>
  <si>
    <t>clFSa</t>
  </si>
  <si>
    <t>clMCSa</t>
  </si>
  <si>
    <t>clFMSa</t>
  </si>
  <si>
    <t>sasiCl</t>
  </si>
  <si>
    <t>clMSa</t>
  </si>
  <si>
    <t>clgrCSa</t>
  </si>
  <si>
    <t>grCl</t>
  </si>
  <si>
    <t>C_21</t>
  </si>
  <si>
    <t>C_003</t>
  </si>
  <si>
    <t>C_002</t>
  </si>
  <si>
    <t>C_001</t>
  </si>
  <si>
    <t>C_22</t>
  </si>
  <si>
    <t>C_24</t>
  </si>
  <si>
    <t>C_25</t>
  </si>
  <si>
    <t>C_26</t>
  </si>
  <si>
    <t>C_27</t>
  </si>
  <si>
    <t>C_28</t>
  </si>
  <si>
    <t>C_29</t>
  </si>
  <si>
    <t>C_31</t>
  </si>
  <si>
    <t>C_32</t>
  </si>
  <si>
    <t>C_33</t>
  </si>
  <si>
    <t>C_34</t>
  </si>
  <si>
    <t>C_35</t>
  </si>
  <si>
    <t>C_36</t>
  </si>
  <si>
    <t>km 49……..km 71</t>
  </si>
  <si>
    <t>saclSi</t>
  </si>
  <si>
    <t>fgrclMSa</t>
  </si>
  <si>
    <t>fgrCl</t>
  </si>
  <si>
    <t>mgrsasiCl</t>
  </si>
  <si>
    <t>grsaCl</t>
  </si>
  <si>
    <t>mgrclSa</t>
  </si>
  <si>
    <t>fgrclSa</t>
  </si>
  <si>
    <t>grsasiCl</t>
  </si>
  <si>
    <t>grsisaCl</t>
  </si>
  <si>
    <t>cgrclCSa</t>
  </si>
  <si>
    <t>mgrclMSa</t>
  </si>
  <si>
    <t>grclCSa</t>
  </si>
  <si>
    <t>clmgrCSa</t>
  </si>
  <si>
    <t>fgrclFSa</t>
  </si>
  <si>
    <t>mgrclFSa</t>
  </si>
  <si>
    <t>fgrsiCl</t>
  </si>
  <si>
    <t>cgrsaCl</t>
  </si>
  <si>
    <t>clCSa</t>
  </si>
  <si>
    <t>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</si>
</sst>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5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3" fillId="0" borderId="1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3" fillId="2" borderId="3" xfId="0" applyNumberFormat="1" applyFont="1" applyFill="1" applyBorder="1"/>
    <xf numFmtId="164" fontId="3" fillId="2" borderId="5" xfId="0" applyNumberFormat="1" applyFont="1" applyFill="1" applyBorder="1"/>
    <xf numFmtId="164" fontId="3" fillId="2" borderId="10" xfId="0" applyNumberFormat="1" applyFont="1" applyFill="1" applyBorder="1"/>
    <xf numFmtId="0" fontId="3" fillId="2" borderId="0" xfId="0" applyFont="1" applyFill="1"/>
    <xf numFmtId="0" fontId="7" fillId="0" borderId="0" xfId="0" applyFont="1" applyAlignment="1">
      <alignment horizontal="right"/>
    </xf>
    <xf numFmtId="0" fontId="3" fillId="0" borderId="0" xfId="0" quotePrefix="1" applyFont="1"/>
    <xf numFmtId="164" fontId="6" fillId="2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164" fontId="3" fillId="0" borderId="16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10" fillId="0" borderId="9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0" borderId="8" xfId="0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/>
    <xf numFmtId="3" fontId="10" fillId="0" borderId="9" xfId="0" applyNumberFormat="1" applyFont="1" applyBorder="1" applyAlignment="1">
      <alignment horizontal="center"/>
    </xf>
    <xf numFmtId="164" fontId="10" fillId="0" borderId="9" xfId="0" quotePrefix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1" fillId="0" borderId="2" xfId="0" applyFont="1" applyBorder="1"/>
    <xf numFmtId="0" fontId="1" fillId="0" borderId="7" xfId="0" applyFont="1" applyBorder="1"/>
    <xf numFmtId="164" fontId="1" fillId="2" borderId="3" xfId="0" applyNumberFormat="1" applyFont="1" applyFill="1" applyBorder="1"/>
    <xf numFmtId="0" fontId="1" fillId="0" borderId="8" xfId="0" applyFont="1" applyBorder="1"/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164" fontId="1" fillId="2" borderId="5" xfId="0" applyNumberFormat="1" applyFont="1" applyFill="1" applyBorder="1"/>
    <xf numFmtId="0" fontId="1" fillId="0" borderId="19" xfId="0" applyFont="1" applyBorder="1"/>
    <xf numFmtId="0" fontId="1" fillId="0" borderId="9" xfId="0" applyFont="1" applyBorder="1"/>
    <xf numFmtId="0" fontId="1" fillId="0" borderId="10" xfId="0" applyFont="1" applyBorder="1"/>
    <xf numFmtId="164" fontId="1" fillId="2" borderId="10" xfId="0" applyNumberFormat="1" applyFont="1" applyFill="1" applyBorder="1"/>
    <xf numFmtId="0" fontId="1" fillId="0" borderId="20" xfId="0" applyFont="1" applyBorder="1"/>
    <xf numFmtId="164" fontId="1" fillId="0" borderId="5" xfId="0" applyNumberFormat="1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3" fillId="0" borderId="18" xfId="0" applyFont="1" applyBorder="1"/>
    <xf numFmtId="0" fontId="10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1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C_001!$J$10:$J$20</c:f>
              <c:numCache>
                <c:formatCode>General</c:formatCode>
                <c:ptCount val="11"/>
                <c:pt idx="0">
                  <c:v>6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19</c:v>
                </c:pt>
                <c:pt idx="5">
                  <c:v>39</c:v>
                </c:pt>
                <c:pt idx="6">
                  <c:v>59</c:v>
                </c:pt>
              </c:numCache>
            </c:numRef>
          </c:xVal>
          <c:yVal>
            <c:numRef>
              <c:f>C_001!$K$10:$K$20</c:f>
              <c:numCache>
                <c:formatCode>\+0.00</c:formatCode>
                <c:ptCount val="11"/>
                <c:pt idx="0">
                  <c:v>9.8930000000000007</c:v>
                </c:pt>
                <c:pt idx="1">
                  <c:v>8.8930000000000007</c:v>
                </c:pt>
                <c:pt idx="2">
                  <c:v>7.8930000000000007</c:v>
                </c:pt>
                <c:pt idx="3">
                  <c:v>6.8930000000000007</c:v>
                </c:pt>
                <c:pt idx="4">
                  <c:v>5.8930000000000007</c:v>
                </c:pt>
                <c:pt idx="5">
                  <c:v>4.8930000000000007</c:v>
                </c:pt>
                <c:pt idx="6">
                  <c:v>3.8930000000000007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C_001!$J$10:$J$22</c:f>
              <c:numCache>
                <c:formatCode>General</c:formatCode>
                <c:ptCount val="13"/>
                <c:pt idx="0">
                  <c:v>6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19</c:v>
                </c:pt>
                <c:pt idx="5">
                  <c:v>39</c:v>
                </c:pt>
                <c:pt idx="6">
                  <c:v>59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C_001!$L$10:$L$22</c:f>
              <c:numCache>
                <c:formatCode>General</c:formatCode>
                <c:ptCount val="13"/>
                <c:pt idx="11" formatCode="\+0.00">
                  <c:v>10.893000000000001</c:v>
                </c:pt>
                <c:pt idx="12" formatCode="\+0.00">
                  <c:v>3.8930000000000007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4000"/>
        <c:axId val="-686687808"/>
      </c:scatterChart>
      <c:valAx>
        <c:axId val="-6866840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7808"/>
        <c:crosses val="autoZero"/>
        <c:crossBetween val="midCat"/>
      </c:valAx>
      <c:valAx>
        <c:axId val="-686687808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40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C_27!$J$10:$J$22</c:f>
              <c:numCache>
                <c:formatCode>General</c:formatCode>
                <c:ptCount val="13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30</c:v>
                </c:pt>
                <c:pt idx="7">
                  <c:v>37</c:v>
                </c:pt>
                <c:pt idx="8">
                  <c:v>43</c:v>
                </c:pt>
                <c:pt idx="9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C_27!$K$10:$K$22</c:f>
              <c:numCache>
                <c:formatCode>\+0.00</c:formatCode>
                <c:ptCount val="13"/>
                <c:pt idx="0">
                  <c:v>26.283000000000001</c:v>
                </c:pt>
                <c:pt idx="1">
                  <c:v>25.283000000000001</c:v>
                </c:pt>
                <c:pt idx="2">
                  <c:v>24.283000000000001</c:v>
                </c:pt>
                <c:pt idx="3">
                  <c:v>23.283000000000001</c:v>
                </c:pt>
                <c:pt idx="4">
                  <c:v>22.283000000000001</c:v>
                </c:pt>
                <c:pt idx="5">
                  <c:v>21.283000000000001</c:v>
                </c:pt>
                <c:pt idx="6">
                  <c:v>20.283000000000001</c:v>
                </c:pt>
                <c:pt idx="7">
                  <c:v>19.283000000000001</c:v>
                </c:pt>
                <c:pt idx="8">
                  <c:v>18.283000000000001</c:v>
                </c:pt>
                <c:pt idx="9">
                  <c:v>17.283000000000001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96-4A8F-BFC3-A459579E3095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C_27!$J$10:$J$22</c:f>
              <c:numCache>
                <c:formatCode>General</c:formatCode>
                <c:ptCount val="13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30</c:v>
                </c:pt>
                <c:pt idx="7">
                  <c:v>37</c:v>
                </c:pt>
                <c:pt idx="8">
                  <c:v>43</c:v>
                </c:pt>
                <c:pt idx="9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C_27!$L$10:$L$22</c:f>
              <c:numCache>
                <c:formatCode>General</c:formatCode>
                <c:ptCount val="13"/>
                <c:pt idx="11" formatCode="\+0.00">
                  <c:v>27.283000000000001</c:v>
                </c:pt>
                <c:pt idx="12" formatCode="\+0.00">
                  <c:v>17.283000000000001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96-4A8F-BFC3-A459579E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2432"/>
        <c:axId val="-431991344"/>
      </c:scatterChart>
      <c:valAx>
        <c:axId val="-43199243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1344"/>
        <c:crosses val="autoZero"/>
        <c:crossBetween val="midCat"/>
      </c:valAx>
      <c:valAx>
        <c:axId val="-431991344"/>
        <c:scaling>
          <c:orientation val="minMax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24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C_28!$J$10:$J$20</c:f>
              <c:numCache>
                <c:formatCode>General</c:formatCode>
                <c:ptCount val="11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26</c:v>
                </c:pt>
                <c:pt idx="5">
                  <c:v>24</c:v>
                </c:pt>
                <c:pt idx="6">
                  <c:v>27</c:v>
                </c:pt>
                <c:pt idx="7">
                  <c:v>42</c:v>
                </c:pt>
                <c:pt idx="8">
                  <c:v>53</c:v>
                </c:pt>
              </c:numCache>
            </c:numRef>
          </c:xVal>
          <c:yVal>
            <c:numRef>
              <c:f>C_28!$K$10:$K$20</c:f>
              <c:numCache>
                <c:formatCode>\+0.00</c:formatCode>
                <c:ptCount val="11"/>
                <c:pt idx="0">
                  <c:v>31.518999999999998</c:v>
                </c:pt>
                <c:pt idx="1">
                  <c:v>30.518999999999998</c:v>
                </c:pt>
                <c:pt idx="2">
                  <c:v>29.518999999999998</c:v>
                </c:pt>
                <c:pt idx="3">
                  <c:v>28.518999999999998</c:v>
                </c:pt>
                <c:pt idx="4">
                  <c:v>27.518999999999998</c:v>
                </c:pt>
                <c:pt idx="5">
                  <c:v>26.518999999999998</c:v>
                </c:pt>
                <c:pt idx="6">
                  <c:v>25.518999999999998</c:v>
                </c:pt>
                <c:pt idx="7">
                  <c:v>25.018999999999998</c:v>
                </c:pt>
                <c:pt idx="8">
                  <c:v>24.518999999999998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9-4692-BD90-D74BD32A8F7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C_28!$J$10:$J$22</c:f>
              <c:numCache>
                <c:formatCode>General</c:formatCode>
                <c:ptCount val="13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26</c:v>
                </c:pt>
                <c:pt idx="5">
                  <c:v>24</c:v>
                </c:pt>
                <c:pt idx="6">
                  <c:v>27</c:v>
                </c:pt>
                <c:pt idx="7">
                  <c:v>42</c:v>
                </c:pt>
                <c:pt idx="8">
                  <c:v>53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C_28!$L$10:$L$22</c:f>
              <c:numCache>
                <c:formatCode>General</c:formatCode>
                <c:ptCount val="13"/>
                <c:pt idx="11" formatCode="\+0.00">
                  <c:v>32.518999999999998</c:v>
                </c:pt>
                <c:pt idx="12" formatCode="\+0.00">
                  <c:v>24.518999999999998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9-4692-BD90-D74BD32A8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3104"/>
        <c:axId val="-432012016"/>
      </c:scatterChart>
      <c:valAx>
        <c:axId val="-43201310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12016"/>
        <c:crosses val="autoZero"/>
        <c:crossBetween val="midCat"/>
      </c:valAx>
      <c:valAx>
        <c:axId val="-432012016"/>
        <c:scaling>
          <c:orientation val="minMax"/>
          <c:max val="33"/>
          <c:min val="2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31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C_29!$J$10:$J$20</c:f>
              <c:numCache>
                <c:formatCode>General</c:formatCode>
                <c:ptCount val="11"/>
                <c:pt idx="0">
                  <c:v>7</c:v>
                </c:pt>
                <c:pt idx="1">
                  <c:v>16</c:v>
                </c:pt>
                <c:pt idx="2">
                  <c:v>27</c:v>
                </c:pt>
                <c:pt idx="3">
                  <c:v>28</c:v>
                </c:pt>
                <c:pt idx="4">
                  <c:v>28</c:v>
                </c:pt>
                <c:pt idx="5">
                  <c:v>44</c:v>
                </c:pt>
                <c:pt idx="6">
                  <c:v>60</c:v>
                </c:pt>
              </c:numCache>
            </c:numRef>
          </c:xVal>
          <c:yVal>
            <c:numRef>
              <c:f>C_29!$K$10:$K$20</c:f>
              <c:numCache>
                <c:formatCode>\+0.00</c:formatCode>
                <c:ptCount val="11"/>
                <c:pt idx="0">
                  <c:v>30.119</c:v>
                </c:pt>
                <c:pt idx="1">
                  <c:v>29.119</c:v>
                </c:pt>
                <c:pt idx="2">
                  <c:v>28.119</c:v>
                </c:pt>
                <c:pt idx="3">
                  <c:v>27.119</c:v>
                </c:pt>
                <c:pt idx="4">
                  <c:v>26.119</c:v>
                </c:pt>
                <c:pt idx="5">
                  <c:v>25.119</c:v>
                </c:pt>
                <c:pt idx="6">
                  <c:v>24.119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E1-407E-AF39-27BCAB9F99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C_29!$J$10:$J$22</c:f>
              <c:numCache>
                <c:formatCode>General</c:formatCode>
                <c:ptCount val="13"/>
                <c:pt idx="0">
                  <c:v>7</c:v>
                </c:pt>
                <c:pt idx="1">
                  <c:v>16</c:v>
                </c:pt>
                <c:pt idx="2">
                  <c:v>27</c:v>
                </c:pt>
                <c:pt idx="3">
                  <c:v>28</c:v>
                </c:pt>
                <c:pt idx="4">
                  <c:v>28</c:v>
                </c:pt>
                <c:pt idx="5">
                  <c:v>44</c:v>
                </c:pt>
                <c:pt idx="6">
                  <c:v>60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C_29!$L$10:$L$22</c:f>
              <c:numCache>
                <c:formatCode>General</c:formatCode>
                <c:ptCount val="13"/>
                <c:pt idx="11" formatCode="\+0.00">
                  <c:v>31.119</c:v>
                </c:pt>
                <c:pt idx="12" formatCode="\+0.00">
                  <c:v>24.119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E1-407E-AF39-27BCAB9F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592"/>
        <c:axId val="-432009840"/>
      </c:scatterChart>
      <c:valAx>
        <c:axId val="-4320005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9840"/>
        <c:crosses val="autoZero"/>
        <c:crossBetween val="midCat"/>
      </c:valAx>
      <c:valAx>
        <c:axId val="-432009840"/>
        <c:scaling>
          <c:orientation val="minMax"/>
          <c:min val="2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5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C_31!$J$10:$J$20</c:f>
              <c:numCache>
                <c:formatCode>General</c:formatCode>
                <c:ptCount val="11"/>
                <c:pt idx="0">
                  <c:v>16</c:v>
                </c:pt>
                <c:pt idx="1">
                  <c:v>25</c:v>
                </c:pt>
                <c:pt idx="2">
                  <c:v>54</c:v>
                </c:pt>
              </c:numCache>
            </c:numRef>
          </c:xVal>
          <c:yVal>
            <c:numRef>
              <c:f>C_31!$K$10:$K$20</c:f>
              <c:numCache>
                <c:formatCode>\+0.00</c:formatCode>
                <c:ptCount val="11"/>
                <c:pt idx="0">
                  <c:v>47.287999999999997</c:v>
                </c:pt>
                <c:pt idx="1">
                  <c:v>46.287999999999997</c:v>
                </c:pt>
                <c:pt idx="2">
                  <c:v>45.287999999999997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3-486A-8F5E-11B8CC5E498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C_31!$J$10:$J$22</c:f>
              <c:numCache>
                <c:formatCode>General</c:formatCode>
                <c:ptCount val="13"/>
                <c:pt idx="0">
                  <c:v>16</c:v>
                </c:pt>
                <c:pt idx="1">
                  <c:v>25</c:v>
                </c:pt>
                <c:pt idx="2">
                  <c:v>54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C_31!$L$10:$L$22</c:f>
              <c:numCache>
                <c:formatCode>General</c:formatCode>
                <c:ptCount val="13"/>
                <c:pt idx="11" formatCode="\+0.00">
                  <c:v>48.287999999999997</c:v>
                </c:pt>
                <c:pt idx="12" formatCode="\+0.00">
                  <c:v>45.287999999999997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63-486A-8F5E-11B8CC5E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6448"/>
        <c:axId val="-431998960"/>
      </c:scatterChart>
      <c:valAx>
        <c:axId val="-4319864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8960"/>
        <c:crosses val="autoZero"/>
        <c:crossBetween val="midCat"/>
      </c:valAx>
      <c:valAx>
        <c:axId val="-431998960"/>
        <c:scaling>
          <c:orientation val="minMax"/>
          <c:min val="3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64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SL_14!$J$10:$J$20</c:f>
              <c:numCache>
                <c:formatCode>General</c:formatCode>
                <c:ptCount val="11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49</c:v>
                </c:pt>
                <c:pt idx="6">
                  <c:v>32</c:v>
                </c:pt>
                <c:pt idx="7">
                  <c:v>24</c:v>
                </c:pt>
                <c:pt idx="8">
                  <c:v>69</c:v>
                </c:pt>
                <c:pt idx="9">
                  <c:v>71</c:v>
                </c:pt>
                <c:pt idx="10">
                  <c:v>77</c:v>
                </c:pt>
              </c:numCache>
            </c:numRef>
          </c:xVal>
          <c:yVal>
            <c:numRef>
              <c:f>SL_14!$K$10:$K$20</c:f>
              <c:numCache>
                <c:formatCode>\+0.00</c:formatCode>
                <c:ptCount val="11"/>
                <c:pt idx="0">
                  <c:v>45.401000000000003</c:v>
                </c:pt>
                <c:pt idx="1">
                  <c:v>44.401000000000003</c:v>
                </c:pt>
                <c:pt idx="2">
                  <c:v>43.401000000000003</c:v>
                </c:pt>
                <c:pt idx="3">
                  <c:v>42.401000000000003</c:v>
                </c:pt>
                <c:pt idx="4">
                  <c:v>41.401000000000003</c:v>
                </c:pt>
                <c:pt idx="5">
                  <c:v>40.401000000000003</c:v>
                </c:pt>
                <c:pt idx="6">
                  <c:v>39.401000000000003</c:v>
                </c:pt>
                <c:pt idx="7">
                  <c:v>38.401000000000003</c:v>
                </c:pt>
                <c:pt idx="8">
                  <c:v>37.401000000000003</c:v>
                </c:pt>
                <c:pt idx="9">
                  <c:v>36.401000000000003</c:v>
                </c:pt>
                <c:pt idx="10">
                  <c:v>35.401000000000003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C5-4C99-B77E-8DF3F7122AE6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SL_14!$J$10:$J$22</c:f>
              <c:numCache>
                <c:formatCode>General</c:formatCode>
                <c:ptCount val="13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49</c:v>
                </c:pt>
                <c:pt idx="6">
                  <c:v>32</c:v>
                </c:pt>
                <c:pt idx="7">
                  <c:v>24</c:v>
                </c:pt>
                <c:pt idx="8">
                  <c:v>69</c:v>
                </c:pt>
                <c:pt idx="9">
                  <c:v>71</c:v>
                </c:pt>
                <c:pt idx="10">
                  <c:v>77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SL_14!$L$10:$L$22</c:f>
              <c:numCache>
                <c:formatCode>General</c:formatCode>
                <c:ptCount val="13"/>
                <c:pt idx="11" formatCode="\+0.00">
                  <c:v>46.401000000000003</c:v>
                </c:pt>
                <c:pt idx="12" formatCode="\+0.00">
                  <c:v>35.401000000000003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C5-4C99-B77E-8DF3F7122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4816"/>
        <c:axId val="-431984272"/>
      </c:scatterChart>
      <c:valAx>
        <c:axId val="-4319848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4272"/>
        <c:crosses val="autoZero"/>
        <c:crossBetween val="midCat"/>
      </c:valAx>
      <c:valAx>
        <c:axId val="-431984272"/>
        <c:scaling>
          <c:orientation val="minMax"/>
          <c:min val="3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4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C_32!$J$10:$J$20</c:f>
              <c:numCache>
                <c:formatCode>General</c:formatCode>
                <c:ptCount val="11"/>
                <c:pt idx="0">
                  <c:v>10</c:v>
                </c:pt>
                <c:pt idx="1">
                  <c:v>18</c:v>
                </c:pt>
                <c:pt idx="2">
                  <c:v>19</c:v>
                </c:pt>
                <c:pt idx="3">
                  <c:v>24</c:v>
                </c:pt>
                <c:pt idx="4">
                  <c:v>25</c:v>
                </c:pt>
                <c:pt idx="5">
                  <c:v>32</c:v>
                </c:pt>
                <c:pt idx="6">
                  <c:v>55</c:v>
                </c:pt>
              </c:numCache>
            </c:numRef>
          </c:xVal>
          <c:yVal>
            <c:numRef>
              <c:f>C_32!$K$10:$K$20</c:f>
              <c:numCache>
                <c:formatCode>\+0.00</c:formatCode>
                <c:ptCount val="11"/>
                <c:pt idx="0">
                  <c:v>44.201999999999998</c:v>
                </c:pt>
                <c:pt idx="1">
                  <c:v>43.201999999999998</c:v>
                </c:pt>
                <c:pt idx="2">
                  <c:v>42.201999999999998</c:v>
                </c:pt>
                <c:pt idx="3">
                  <c:v>41.201999999999998</c:v>
                </c:pt>
                <c:pt idx="4">
                  <c:v>40.201999999999998</c:v>
                </c:pt>
                <c:pt idx="5">
                  <c:v>39.201999999999998</c:v>
                </c:pt>
                <c:pt idx="6">
                  <c:v>38.201999999999998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B4-41BA-ADDE-9066B7BCC0A1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C_32!$J$10:$J$22</c:f>
              <c:numCache>
                <c:formatCode>General</c:formatCode>
                <c:ptCount val="13"/>
                <c:pt idx="0">
                  <c:v>10</c:v>
                </c:pt>
                <c:pt idx="1">
                  <c:v>18</c:v>
                </c:pt>
                <c:pt idx="2">
                  <c:v>19</c:v>
                </c:pt>
                <c:pt idx="3">
                  <c:v>24</c:v>
                </c:pt>
                <c:pt idx="4">
                  <c:v>25</c:v>
                </c:pt>
                <c:pt idx="5">
                  <c:v>32</c:v>
                </c:pt>
                <c:pt idx="6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C_32!$L$10:$L$22</c:f>
              <c:numCache>
                <c:formatCode>General</c:formatCode>
                <c:ptCount val="13"/>
                <c:pt idx="11" formatCode="\+0.00">
                  <c:v>45.201999999999998</c:v>
                </c:pt>
                <c:pt idx="12" formatCode="\+0.00">
                  <c:v>38.201999999999998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B4-41BA-ADDE-9066B7BCC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4816"/>
        <c:axId val="-431984272"/>
      </c:scatterChart>
      <c:valAx>
        <c:axId val="-4319848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4272"/>
        <c:crosses val="autoZero"/>
        <c:crossBetween val="midCat"/>
      </c:valAx>
      <c:valAx>
        <c:axId val="-431984272"/>
        <c:scaling>
          <c:orientation val="minMax"/>
          <c:min val="3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4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C_33!$J$10:$J$20</c:f>
              <c:numCache>
                <c:formatCode>General</c:formatCode>
                <c:ptCount val="11"/>
                <c:pt idx="0">
                  <c:v>16</c:v>
                </c:pt>
                <c:pt idx="1">
                  <c:v>19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33</c:v>
                </c:pt>
                <c:pt idx="6">
                  <c:v>50</c:v>
                </c:pt>
              </c:numCache>
            </c:numRef>
          </c:xVal>
          <c:yVal>
            <c:numRef>
              <c:f>C_33!$K$10:$K$20</c:f>
              <c:numCache>
                <c:formatCode>\+0.00</c:formatCode>
                <c:ptCount val="11"/>
                <c:pt idx="0">
                  <c:v>48.661999999999999</c:v>
                </c:pt>
                <c:pt idx="1">
                  <c:v>47.661999999999999</c:v>
                </c:pt>
                <c:pt idx="2">
                  <c:v>46.661999999999999</c:v>
                </c:pt>
                <c:pt idx="3">
                  <c:v>45.661999999999999</c:v>
                </c:pt>
                <c:pt idx="4">
                  <c:v>44.661999999999999</c:v>
                </c:pt>
                <c:pt idx="5">
                  <c:v>43.661999999999999</c:v>
                </c:pt>
                <c:pt idx="6">
                  <c:v>42.661999999999999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2A-40C8-9726-DD005318A1B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C_33!$J$10:$J$22</c:f>
              <c:numCache>
                <c:formatCode>General</c:formatCode>
                <c:ptCount val="13"/>
                <c:pt idx="0">
                  <c:v>16</c:v>
                </c:pt>
                <c:pt idx="1">
                  <c:v>19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33</c:v>
                </c:pt>
                <c:pt idx="6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C_33!$L$10:$L$22</c:f>
              <c:numCache>
                <c:formatCode>General</c:formatCode>
                <c:ptCount val="13"/>
                <c:pt idx="11" formatCode="\+0.00">
                  <c:v>49.661999999999999</c:v>
                </c:pt>
                <c:pt idx="12" formatCode="\+0.00">
                  <c:v>42.661999999999999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2A-40C8-9726-DD005318A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6320"/>
        <c:axId val="-501307952"/>
      </c:scatterChart>
      <c:valAx>
        <c:axId val="-50130632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7952"/>
        <c:crosses val="autoZero"/>
        <c:crossBetween val="midCat"/>
      </c:valAx>
      <c:valAx>
        <c:axId val="-501307952"/>
        <c:scaling>
          <c:orientation val="minMax"/>
          <c:min val="4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632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C_34!$J$10:$J$22</c:f>
              <c:numCache>
                <c:formatCode>General</c:formatCode>
                <c:ptCount val="13"/>
                <c:pt idx="0">
                  <c:v>13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25</c:v>
                </c:pt>
                <c:pt idx="5">
                  <c:v>29</c:v>
                </c:pt>
                <c:pt idx="6">
                  <c:v>39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C_34!$K$10:$K$22</c:f>
              <c:numCache>
                <c:formatCode>\+0.00</c:formatCode>
                <c:ptCount val="13"/>
                <c:pt idx="0">
                  <c:v>47.472000000000001</c:v>
                </c:pt>
                <c:pt idx="1">
                  <c:v>46.472000000000001</c:v>
                </c:pt>
                <c:pt idx="2">
                  <c:v>45.472000000000001</c:v>
                </c:pt>
                <c:pt idx="3">
                  <c:v>44.472000000000001</c:v>
                </c:pt>
                <c:pt idx="4">
                  <c:v>43.472000000000001</c:v>
                </c:pt>
                <c:pt idx="5">
                  <c:v>42.472000000000001</c:v>
                </c:pt>
                <c:pt idx="6">
                  <c:v>41.472000000000001</c:v>
                </c:pt>
                <c:pt idx="7">
                  <c:v>40.472000000000001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CA-4CCE-AACD-2417ECC7E846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C_34!$J$10:$J$22</c:f>
              <c:numCache>
                <c:formatCode>General</c:formatCode>
                <c:ptCount val="13"/>
                <c:pt idx="0">
                  <c:v>13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25</c:v>
                </c:pt>
                <c:pt idx="5">
                  <c:v>29</c:v>
                </c:pt>
                <c:pt idx="6">
                  <c:v>39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C_34!$L$10:$L$22</c:f>
              <c:numCache>
                <c:formatCode>General</c:formatCode>
                <c:ptCount val="13"/>
                <c:pt idx="11" formatCode="\+0.00">
                  <c:v>48.472000000000001</c:v>
                </c:pt>
                <c:pt idx="12" formatCode="\+0.00">
                  <c:v>40.472000000000001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CA-4CCE-AACD-2417ECC7E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297072"/>
        <c:axId val="-501305776"/>
      </c:scatterChart>
      <c:valAx>
        <c:axId val="-50129707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5776"/>
        <c:crosses val="autoZero"/>
        <c:crossBetween val="midCat"/>
      </c:valAx>
      <c:valAx>
        <c:axId val="-501305776"/>
        <c:scaling>
          <c:orientation val="minMax"/>
          <c:min val="3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2970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C_35!$J$10:$J$20</c:f>
              <c:numCache>
                <c:formatCode>General</c:formatCode>
                <c:ptCount val="11"/>
                <c:pt idx="0">
                  <c:v>10</c:v>
                </c:pt>
                <c:pt idx="1">
                  <c:v>23</c:v>
                </c:pt>
                <c:pt idx="2">
                  <c:v>25</c:v>
                </c:pt>
                <c:pt idx="3">
                  <c:v>23</c:v>
                </c:pt>
                <c:pt idx="4">
                  <c:v>32</c:v>
                </c:pt>
                <c:pt idx="5">
                  <c:v>27</c:v>
                </c:pt>
                <c:pt idx="6">
                  <c:v>31</c:v>
                </c:pt>
                <c:pt idx="7">
                  <c:v>50</c:v>
                </c:pt>
              </c:numCache>
            </c:numRef>
          </c:xVal>
          <c:yVal>
            <c:numRef>
              <c:f>C_35!$K$10:$K$20</c:f>
              <c:numCache>
                <c:formatCode>\+0.00</c:formatCode>
                <c:ptCount val="11"/>
                <c:pt idx="0">
                  <c:v>46.600999999999999</c:v>
                </c:pt>
                <c:pt idx="1">
                  <c:v>45.600999999999999</c:v>
                </c:pt>
                <c:pt idx="2">
                  <c:v>44.600999999999999</c:v>
                </c:pt>
                <c:pt idx="3">
                  <c:v>43.600999999999999</c:v>
                </c:pt>
                <c:pt idx="4">
                  <c:v>42.600999999999999</c:v>
                </c:pt>
                <c:pt idx="5">
                  <c:v>41.600999999999999</c:v>
                </c:pt>
                <c:pt idx="6">
                  <c:v>40.600999999999999</c:v>
                </c:pt>
                <c:pt idx="7">
                  <c:v>39.600999999999999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CA-481A-894D-E3E9D0F0166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C_35!$J$10:$J$22</c:f>
              <c:numCache>
                <c:formatCode>General</c:formatCode>
                <c:ptCount val="13"/>
                <c:pt idx="0">
                  <c:v>10</c:v>
                </c:pt>
                <c:pt idx="1">
                  <c:v>23</c:v>
                </c:pt>
                <c:pt idx="2">
                  <c:v>25</c:v>
                </c:pt>
                <c:pt idx="3">
                  <c:v>23</c:v>
                </c:pt>
                <c:pt idx="4">
                  <c:v>32</c:v>
                </c:pt>
                <c:pt idx="5">
                  <c:v>27</c:v>
                </c:pt>
                <c:pt idx="6">
                  <c:v>31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C_35!$L$10:$L$22</c:f>
              <c:numCache>
                <c:formatCode>General</c:formatCode>
                <c:ptCount val="13"/>
                <c:pt idx="11" formatCode="\+0.00">
                  <c:v>47.600999999999999</c:v>
                </c:pt>
                <c:pt idx="12" formatCode="\+0.00">
                  <c:v>39.600999999999999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CA-481A-894D-E3E9D0F01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3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C_36!$J$10:$J$20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17</c:v>
                </c:pt>
                <c:pt idx="4">
                  <c:v>27</c:v>
                </c:pt>
                <c:pt idx="5">
                  <c:v>34</c:v>
                </c:pt>
                <c:pt idx="6">
                  <c:v>33</c:v>
                </c:pt>
                <c:pt idx="7">
                  <c:v>35</c:v>
                </c:pt>
                <c:pt idx="8">
                  <c:v>50</c:v>
                </c:pt>
              </c:numCache>
            </c:numRef>
          </c:xVal>
          <c:yVal>
            <c:numRef>
              <c:f>C_36!$K$10:$K$20</c:f>
              <c:numCache>
                <c:formatCode>\+0.00</c:formatCode>
                <c:ptCount val="11"/>
                <c:pt idx="0">
                  <c:v>51.575000000000003</c:v>
                </c:pt>
                <c:pt idx="1">
                  <c:v>50.575000000000003</c:v>
                </c:pt>
                <c:pt idx="2">
                  <c:v>49.575000000000003</c:v>
                </c:pt>
                <c:pt idx="3">
                  <c:v>48.575000000000003</c:v>
                </c:pt>
                <c:pt idx="4">
                  <c:v>47.575000000000003</c:v>
                </c:pt>
                <c:pt idx="5">
                  <c:v>46.575000000000003</c:v>
                </c:pt>
                <c:pt idx="6">
                  <c:v>45.575000000000003</c:v>
                </c:pt>
                <c:pt idx="7">
                  <c:v>44.575000000000003</c:v>
                </c:pt>
                <c:pt idx="8">
                  <c:v>43.575000000000003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9C-4119-B13D-9AD88B0B26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C_36!$J$10:$J$22</c:f>
              <c:numCache>
                <c:formatCode>General</c:formatCod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17</c:v>
                </c:pt>
                <c:pt idx="4">
                  <c:v>27</c:v>
                </c:pt>
                <c:pt idx="5">
                  <c:v>34</c:v>
                </c:pt>
                <c:pt idx="6">
                  <c:v>33</c:v>
                </c:pt>
                <c:pt idx="7">
                  <c:v>35</c:v>
                </c:pt>
                <c:pt idx="8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C_36!$L$10:$L$22</c:f>
              <c:numCache>
                <c:formatCode>General</c:formatCode>
                <c:ptCount val="13"/>
                <c:pt idx="11" formatCode="\+0.00">
                  <c:v>52.575000000000003</c:v>
                </c:pt>
                <c:pt idx="12" formatCode="\+0.00">
                  <c:v>43.575000000000003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9C-4119-B13D-9AD88B0B2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4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C_002!$J$10:$J$22</c:f>
              <c:numCache>
                <c:formatCode>General</c:formatCode>
                <c:ptCount val="13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34</c:v>
                </c:pt>
                <c:pt idx="5">
                  <c:v>40</c:v>
                </c:pt>
                <c:pt idx="6">
                  <c:v>45</c:v>
                </c:pt>
                <c:pt idx="7">
                  <c:v>62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C_002!$K$10:$K$22</c:f>
              <c:numCache>
                <c:formatCode>\+0.00</c:formatCode>
                <c:ptCount val="13"/>
                <c:pt idx="0">
                  <c:v>7.9849999999999994</c:v>
                </c:pt>
                <c:pt idx="1">
                  <c:v>6.9849999999999994</c:v>
                </c:pt>
                <c:pt idx="2">
                  <c:v>5.9849999999999994</c:v>
                </c:pt>
                <c:pt idx="3">
                  <c:v>4.9849999999999994</c:v>
                </c:pt>
                <c:pt idx="4">
                  <c:v>3.9849999999999994</c:v>
                </c:pt>
                <c:pt idx="5">
                  <c:v>2.9849999999999994</c:v>
                </c:pt>
                <c:pt idx="6">
                  <c:v>1.9849999999999994</c:v>
                </c:pt>
                <c:pt idx="7">
                  <c:v>0.98499999999999943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8-4087-9F40-4417BA2A0EF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C_002!$J$10:$J$22</c:f>
              <c:numCache>
                <c:formatCode>General</c:formatCode>
                <c:ptCount val="13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34</c:v>
                </c:pt>
                <c:pt idx="5">
                  <c:v>40</c:v>
                </c:pt>
                <c:pt idx="6">
                  <c:v>45</c:v>
                </c:pt>
                <c:pt idx="7">
                  <c:v>62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C_002!$L$10:$L$22</c:f>
              <c:numCache>
                <c:formatCode>General</c:formatCode>
                <c:ptCount val="13"/>
                <c:pt idx="11" formatCode="\+0.00">
                  <c:v>8.9849999999999994</c:v>
                </c:pt>
                <c:pt idx="12" formatCode="\+0.00">
                  <c:v>0.98499999999999943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8-4087-9F40-4417BA2A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93248"/>
        <c:axId val="-686688352"/>
      </c:scatterChart>
      <c:valAx>
        <c:axId val="-6866932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8352"/>
        <c:crosses val="autoZero"/>
        <c:crossBetween val="midCat"/>
      </c:valAx>
      <c:valAx>
        <c:axId val="-686688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932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C_003!$J$10:$J$22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43</c:v>
                </c:pt>
                <c:pt idx="6">
                  <c:v>46</c:v>
                </c:pt>
                <c:pt idx="7">
                  <c:v>66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C_003!$K$10:$K$22</c:f>
              <c:numCache>
                <c:formatCode>\+0.00</c:formatCode>
                <c:ptCount val="13"/>
                <c:pt idx="0">
                  <c:v>8.2379999999999995</c:v>
                </c:pt>
                <c:pt idx="1">
                  <c:v>7.2379999999999995</c:v>
                </c:pt>
                <c:pt idx="2">
                  <c:v>6.2379999999999995</c:v>
                </c:pt>
                <c:pt idx="3">
                  <c:v>5.2379999999999995</c:v>
                </c:pt>
                <c:pt idx="4">
                  <c:v>4.2379999999999995</c:v>
                </c:pt>
                <c:pt idx="5">
                  <c:v>3.2379999999999995</c:v>
                </c:pt>
                <c:pt idx="6">
                  <c:v>2.2379999999999995</c:v>
                </c:pt>
                <c:pt idx="7">
                  <c:v>1.2379999999999995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4-4868-BEE2-75DD3627E81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C_003!$J$10:$J$22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43</c:v>
                </c:pt>
                <c:pt idx="6">
                  <c:v>46</c:v>
                </c:pt>
                <c:pt idx="7">
                  <c:v>66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C_003!$L$10:$L$22</c:f>
              <c:numCache>
                <c:formatCode>General</c:formatCode>
                <c:ptCount val="13"/>
                <c:pt idx="11" formatCode="\+0.00">
                  <c:v>9.2379999999999995</c:v>
                </c:pt>
                <c:pt idx="12" formatCode="\+0.00">
                  <c:v>1.2379999999999995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64-4868-BEE2-75DD3627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9984"/>
        <c:axId val="-686686720"/>
      </c:scatterChart>
      <c:valAx>
        <c:axId val="-6866899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6720"/>
        <c:crosses val="autoZero"/>
        <c:crossBetween val="midCat"/>
      </c:valAx>
      <c:valAx>
        <c:axId val="-686686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99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C_21!$J$10:$J$22</c:f>
              <c:numCache>
                <c:formatCode>General</c:formatCode>
                <c:ptCount val="13"/>
                <c:pt idx="0">
                  <c:v>14</c:v>
                </c:pt>
                <c:pt idx="1">
                  <c:v>18</c:v>
                </c:pt>
                <c:pt idx="2">
                  <c:v>24</c:v>
                </c:pt>
                <c:pt idx="3">
                  <c:v>22</c:v>
                </c:pt>
                <c:pt idx="4">
                  <c:v>30</c:v>
                </c:pt>
                <c:pt idx="5">
                  <c:v>74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C_21!$K$10:$K$22</c:f>
              <c:numCache>
                <c:formatCode>\+0.00</c:formatCode>
                <c:ptCount val="13"/>
                <c:pt idx="0">
                  <c:v>29.620999999999999</c:v>
                </c:pt>
                <c:pt idx="1">
                  <c:v>28.620999999999999</c:v>
                </c:pt>
                <c:pt idx="2">
                  <c:v>27.620999999999999</c:v>
                </c:pt>
                <c:pt idx="3">
                  <c:v>26.620999999999999</c:v>
                </c:pt>
                <c:pt idx="4">
                  <c:v>25.620999999999999</c:v>
                </c:pt>
                <c:pt idx="5">
                  <c:v>24.620999999999999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61-4704-89ED-33DA08E02BB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C_21!$J$10:$J$22</c:f>
              <c:numCache>
                <c:formatCode>General</c:formatCode>
                <c:ptCount val="13"/>
                <c:pt idx="0">
                  <c:v>14</c:v>
                </c:pt>
                <c:pt idx="1">
                  <c:v>18</c:v>
                </c:pt>
                <c:pt idx="2">
                  <c:v>24</c:v>
                </c:pt>
                <c:pt idx="3">
                  <c:v>22</c:v>
                </c:pt>
                <c:pt idx="4">
                  <c:v>30</c:v>
                </c:pt>
                <c:pt idx="5">
                  <c:v>74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C_21!$L$10:$L$22</c:f>
              <c:numCache>
                <c:formatCode>General</c:formatCode>
                <c:ptCount val="13"/>
                <c:pt idx="11" formatCode="\+0.00">
                  <c:v>30.620999999999999</c:v>
                </c:pt>
                <c:pt idx="12" formatCode="\+0.00">
                  <c:v>24.620999999999999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61-4704-89ED-33DA08E0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4608"/>
        <c:axId val="-432003312"/>
      </c:scatterChart>
      <c:valAx>
        <c:axId val="-43199460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3312"/>
        <c:crosses val="autoZero"/>
        <c:crossBetween val="midCat"/>
      </c:valAx>
      <c:valAx>
        <c:axId val="-432003312"/>
        <c:scaling>
          <c:orientation val="minMax"/>
          <c:min val="2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460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C_22!$J$10:$J$20</c:f>
              <c:numCache>
                <c:formatCode>General</c:formatCode>
                <c:ptCount val="11"/>
                <c:pt idx="0">
                  <c:v>13</c:v>
                </c:pt>
                <c:pt idx="1">
                  <c:v>15</c:v>
                </c:pt>
                <c:pt idx="2">
                  <c:v>21</c:v>
                </c:pt>
                <c:pt idx="3">
                  <c:v>30</c:v>
                </c:pt>
                <c:pt idx="4">
                  <c:v>42</c:v>
                </c:pt>
                <c:pt idx="5">
                  <c:v>78</c:v>
                </c:pt>
              </c:numCache>
            </c:numRef>
          </c:xVal>
          <c:yVal>
            <c:numRef>
              <c:f>C_22!$K$10:$K$20</c:f>
              <c:numCache>
                <c:formatCode>\+0.00</c:formatCode>
                <c:ptCount val="11"/>
                <c:pt idx="0">
                  <c:v>28.934999999999999</c:v>
                </c:pt>
                <c:pt idx="1">
                  <c:v>27.934999999999999</c:v>
                </c:pt>
                <c:pt idx="2">
                  <c:v>26.934999999999999</c:v>
                </c:pt>
                <c:pt idx="3">
                  <c:v>25.934999999999999</c:v>
                </c:pt>
                <c:pt idx="4">
                  <c:v>24.934999999999999</c:v>
                </c:pt>
                <c:pt idx="5">
                  <c:v>23.934999999999999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B-4D80-9A03-201C082BE10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C_22!$J$10:$J$22</c:f>
              <c:numCache>
                <c:formatCode>General</c:formatCode>
                <c:ptCount val="13"/>
                <c:pt idx="0">
                  <c:v>13</c:v>
                </c:pt>
                <c:pt idx="1">
                  <c:v>15</c:v>
                </c:pt>
                <c:pt idx="2">
                  <c:v>21</c:v>
                </c:pt>
                <c:pt idx="3">
                  <c:v>30</c:v>
                </c:pt>
                <c:pt idx="4">
                  <c:v>42</c:v>
                </c:pt>
                <c:pt idx="5">
                  <c:v>78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C_22!$L$10:$L$22</c:f>
              <c:numCache>
                <c:formatCode>General</c:formatCode>
                <c:ptCount val="13"/>
                <c:pt idx="11" formatCode="\+0.00">
                  <c:v>29.934999999999999</c:v>
                </c:pt>
                <c:pt idx="12" formatCode="\+0.00">
                  <c:v>23.934999999999999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B-4D80-9A03-201C082B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0928"/>
        <c:axId val="-431983184"/>
      </c:scatterChart>
      <c:valAx>
        <c:axId val="-4320109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3184"/>
        <c:crosses val="autoZero"/>
        <c:crossBetween val="midCat"/>
      </c:valAx>
      <c:valAx>
        <c:axId val="-431983184"/>
        <c:scaling>
          <c:orientation val="minMax"/>
          <c:min val="2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0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C_23!$J$10:$J$22</c:f>
              <c:numCache>
                <c:formatCode>General</c:formatCode>
                <c:ptCount val="13"/>
                <c:pt idx="0">
                  <c:v>14</c:v>
                </c:pt>
                <c:pt idx="1">
                  <c:v>17</c:v>
                </c:pt>
                <c:pt idx="2">
                  <c:v>23</c:v>
                </c:pt>
                <c:pt idx="3">
                  <c:v>20</c:v>
                </c:pt>
                <c:pt idx="4">
                  <c:v>31</c:v>
                </c:pt>
                <c:pt idx="5">
                  <c:v>35</c:v>
                </c:pt>
                <c:pt idx="6">
                  <c:v>44</c:v>
                </c:pt>
                <c:pt idx="7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C_23!$K$10:$K$22</c:f>
              <c:numCache>
                <c:formatCode>\+0.00</c:formatCode>
                <c:ptCount val="13"/>
                <c:pt idx="0">
                  <c:v>32.450000000000003</c:v>
                </c:pt>
                <c:pt idx="1">
                  <c:v>31.450000000000003</c:v>
                </c:pt>
                <c:pt idx="2">
                  <c:v>30.450000000000003</c:v>
                </c:pt>
                <c:pt idx="3">
                  <c:v>29.450000000000003</c:v>
                </c:pt>
                <c:pt idx="4">
                  <c:v>28.450000000000003</c:v>
                </c:pt>
                <c:pt idx="5">
                  <c:v>27.450000000000003</c:v>
                </c:pt>
                <c:pt idx="6">
                  <c:v>26.450000000000003</c:v>
                </c:pt>
                <c:pt idx="7">
                  <c:v>25.450000000000003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4A-4699-9C11-586DDCCAF96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C_23!$J$10:$J$22</c:f>
              <c:numCache>
                <c:formatCode>General</c:formatCode>
                <c:ptCount val="13"/>
                <c:pt idx="0">
                  <c:v>14</c:v>
                </c:pt>
                <c:pt idx="1">
                  <c:v>17</c:v>
                </c:pt>
                <c:pt idx="2">
                  <c:v>23</c:v>
                </c:pt>
                <c:pt idx="3">
                  <c:v>20</c:v>
                </c:pt>
                <c:pt idx="4">
                  <c:v>31</c:v>
                </c:pt>
                <c:pt idx="5">
                  <c:v>35</c:v>
                </c:pt>
                <c:pt idx="6">
                  <c:v>44</c:v>
                </c:pt>
                <c:pt idx="7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C_23!$L$10:$L$22</c:f>
              <c:numCache>
                <c:formatCode>General</c:formatCode>
                <c:ptCount val="13"/>
                <c:pt idx="11" formatCode="\+0.00">
                  <c:v>33.450000000000003</c:v>
                </c:pt>
                <c:pt idx="12" formatCode="\+0.00">
                  <c:v>25.450000000000003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4A-4699-9C11-586DDCCAF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1680"/>
        <c:axId val="-432004400"/>
      </c:scatterChart>
      <c:valAx>
        <c:axId val="-4320016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4400"/>
        <c:crosses val="autoZero"/>
        <c:crossBetween val="midCat"/>
      </c:valAx>
      <c:valAx>
        <c:axId val="-432004400"/>
        <c:scaling>
          <c:orientation val="minMax"/>
          <c:min val="2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16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'C_24 '!$J$10:$J$22</c:f>
              <c:numCache>
                <c:formatCode>General</c:formatCode>
                <c:ptCount val="13"/>
                <c:pt idx="0">
                  <c:v>16</c:v>
                </c:pt>
                <c:pt idx="1">
                  <c:v>20</c:v>
                </c:pt>
                <c:pt idx="2">
                  <c:v>27</c:v>
                </c:pt>
                <c:pt idx="3">
                  <c:v>28</c:v>
                </c:pt>
                <c:pt idx="4">
                  <c:v>26</c:v>
                </c:pt>
                <c:pt idx="5">
                  <c:v>33</c:v>
                </c:pt>
                <c:pt idx="6">
                  <c:v>41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'C_24 '!$K$10:$K$22</c:f>
              <c:numCache>
                <c:formatCode>\+0.00</c:formatCode>
                <c:ptCount val="13"/>
                <c:pt idx="0">
                  <c:v>28.251999999999999</c:v>
                </c:pt>
                <c:pt idx="1">
                  <c:v>27.251999999999999</c:v>
                </c:pt>
                <c:pt idx="2">
                  <c:v>26.251999999999999</c:v>
                </c:pt>
                <c:pt idx="3">
                  <c:v>25.251999999999999</c:v>
                </c:pt>
                <c:pt idx="4">
                  <c:v>24.251999999999999</c:v>
                </c:pt>
                <c:pt idx="5">
                  <c:v>23.251999999999999</c:v>
                </c:pt>
                <c:pt idx="6">
                  <c:v>22.251999999999999</c:v>
                </c:pt>
                <c:pt idx="7">
                  <c:v>21.251999999999999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9-4E68-92BC-B76FEDD50B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'C_24 '!$J$10:$J$22</c:f>
              <c:numCache>
                <c:formatCode>General</c:formatCode>
                <c:ptCount val="13"/>
                <c:pt idx="0">
                  <c:v>16</c:v>
                </c:pt>
                <c:pt idx="1">
                  <c:v>20</c:v>
                </c:pt>
                <c:pt idx="2">
                  <c:v>27</c:v>
                </c:pt>
                <c:pt idx="3">
                  <c:v>28</c:v>
                </c:pt>
                <c:pt idx="4">
                  <c:v>26</c:v>
                </c:pt>
                <c:pt idx="5">
                  <c:v>33</c:v>
                </c:pt>
                <c:pt idx="6">
                  <c:v>41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'C_24 '!$L$10:$L$22</c:f>
              <c:numCache>
                <c:formatCode>General</c:formatCode>
                <c:ptCount val="13"/>
                <c:pt idx="11" formatCode="\+0.00">
                  <c:v>29.251999999999999</c:v>
                </c:pt>
                <c:pt idx="12" formatCode="\+0.00">
                  <c:v>21.251999999999999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59-4E68-92BC-B76FEDD5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048"/>
        <c:axId val="-431994064"/>
      </c:scatterChart>
      <c:valAx>
        <c:axId val="-4320000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4064"/>
        <c:crosses val="autoZero"/>
        <c:crossBetween val="midCat"/>
      </c:valAx>
      <c:valAx>
        <c:axId val="-43199406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0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C_25!$J$10:$J$22</c:f>
              <c:numCache>
                <c:formatCode>General</c:formatCode>
                <c:ptCount val="13"/>
                <c:pt idx="0">
                  <c:v>14</c:v>
                </c:pt>
                <c:pt idx="1">
                  <c:v>20</c:v>
                </c:pt>
                <c:pt idx="2">
                  <c:v>26</c:v>
                </c:pt>
                <c:pt idx="3">
                  <c:v>25</c:v>
                </c:pt>
                <c:pt idx="4">
                  <c:v>34</c:v>
                </c:pt>
                <c:pt idx="5">
                  <c:v>65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C_25!$K$10:$K$22</c:f>
              <c:numCache>
                <c:formatCode>\+0.00</c:formatCode>
                <c:ptCount val="13"/>
                <c:pt idx="0">
                  <c:v>28.678000000000001</c:v>
                </c:pt>
                <c:pt idx="1">
                  <c:v>27.678000000000001</c:v>
                </c:pt>
                <c:pt idx="2">
                  <c:v>26.678000000000001</c:v>
                </c:pt>
                <c:pt idx="3">
                  <c:v>25.678000000000001</c:v>
                </c:pt>
                <c:pt idx="4">
                  <c:v>24.678000000000001</c:v>
                </c:pt>
                <c:pt idx="5">
                  <c:v>23.678000000000001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F-45F3-BD9B-5820B8442CE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C_25!$J$10:$J$22</c:f>
              <c:numCache>
                <c:formatCode>General</c:formatCode>
                <c:ptCount val="13"/>
                <c:pt idx="0">
                  <c:v>14</c:v>
                </c:pt>
                <c:pt idx="1">
                  <c:v>20</c:v>
                </c:pt>
                <c:pt idx="2">
                  <c:v>26</c:v>
                </c:pt>
                <c:pt idx="3">
                  <c:v>25</c:v>
                </c:pt>
                <c:pt idx="4">
                  <c:v>34</c:v>
                </c:pt>
                <c:pt idx="5">
                  <c:v>65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C_25!$L$10:$L$22</c:f>
              <c:numCache>
                <c:formatCode>General</c:formatCode>
                <c:ptCount val="13"/>
                <c:pt idx="11" formatCode="\+0.00">
                  <c:v>29.678000000000001</c:v>
                </c:pt>
                <c:pt idx="12" formatCode="\+0.00">
                  <c:v>23.678000000000001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F-45F3-BD9B-5820B844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2096"/>
        <c:axId val="-431999504"/>
      </c:scatterChart>
      <c:valAx>
        <c:axId val="-431982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9504"/>
        <c:crosses val="autoZero"/>
        <c:crossBetween val="midCat"/>
      </c:valAx>
      <c:valAx>
        <c:axId val="-431999504"/>
        <c:scaling>
          <c:orientation val="minMax"/>
          <c:min val="2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2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C_26!$J$10:$J$22</c:f>
              <c:numCache>
                <c:formatCode>General</c:formatCode>
                <c:ptCount val="13"/>
                <c:pt idx="0">
                  <c:v>8</c:v>
                </c:pt>
                <c:pt idx="1">
                  <c:v>11</c:v>
                </c:pt>
                <c:pt idx="2">
                  <c:v>27</c:v>
                </c:pt>
                <c:pt idx="3">
                  <c:v>28</c:v>
                </c:pt>
                <c:pt idx="4">
                  <c:v>33</c:v>
                </c:pt>
                <c:pt idx="5">
                  <c:v>42</c:v>
                </c:pt>
                <c:pt idx="6">
                  <c:v>57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C_26!$K$10:$K$22</c:f>
              <c:numCache>
                <c:formatCode>\+0.00</c:formatCode>
                <c:ptCount val="13"/>
                <c:pt idx="0">
                  <c:v>27.321000000000002</c:v>
                </c:pt>
                <c:pt idx="1">
                  <c:v>26.321000000000002</c:v>
                </c:pt>
                <c:pt idx="2">
                  <c:v>25.321000000000002</c:v>
                </c:pt>
                <c:pt idx="3">
                  <c:v>24.321000000000002</c:v>
                </c:pt>
                <c:pt idx="4">
                  <c:v>23.321000000000002</c:v>
                </c:pt>
                <c:pt idx="5">
                  <c:v>22.321000000000002</c:v>
                </c:pt>
                <c:pt idx="6">
                  <c:v>21.321000000000002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E-452B-9A38-B5DD3FDE03A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C_26!$J$10:$J$22</c:f>
              <c:numCache>
                <c:formatCode>General</c:formatCode>
                <c:ptCount val="13"/>
                <c:pt idx="0">
                  <c:v>8</c:v>
                </c:pt>
                <c:pt idx="1">
                  <c:v>11</c:v>
                </c:pt>
                <c:pt idx="2">
                  <c:v>27</c:v>
                </c:pt>
                <c:pt idx="3">
                  <c:v>28</c:v>
                </c:pt>
                <c:pt idx="4">
                  <c:v>33</c:v>
                </c:pt>
                <c:pt idx="5">
                  <c:v>42</c:v>
                </c:pt>
                <c:pt idx="6">
                  <c:v>57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C_26!$L$10:$L$22</c:f>
              <c:numCache>
                <c:formatCode>General</c:formatCode>
                <c:ptCount val="13"/>
                <c:pt idx="11" formatCode="\+0.00">
                  <c:v>28.321000000000002</c:v>
                </c:pt>
                <c:pt idx="12" formatCode="\+0.00">
                  <c:v>21.321000000000002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E-452B-9A38-B5DD3FDE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7536"/>
        <c:axId val="-431981552"/>
      </c:scatterChart>
      <c:valAx>
        <c:axId val="-43198753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1552"/>
        <c:crosses val="autoZero"/>
        <c:crossBetween val="midCat"/>
      </c:valAx>
      <c:valAx>
        <c:axId val="-431981552"/>
        <c:scaling>
          <c:orientation val="minMax"/>
          <c:min val="1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75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1" spans="1:13" x14ac:dyDescent="0.25">
      <c r="A1" s="56" t="s">
        <v>37</v>
      </c>
    </row>
    <row r="2" spans="1:13" x14ac:dyDescent="0.25">
      <c r="B2" s="18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1:13" ht="15.75" x14ac:dyDescent="0.25">
      <c r="B3" s="48"/>
      <c r="C3" s="28" t="s">
        <v>32</v>
      </c>
      <c r="D3" s="104" t="s">
        <v>75</v>
      </c>
      <c r="E3" s="106"/>
      <c r="F3" s="104" t="s">
        <v>61</v>
      </c>
      <c r="G3" s="106"/>
      <c r="K3" s="1" t="s">
        <v>30</v>
      </c>
    </row>
    <row r="4" spans="1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1:13" ht="16.5" thickBot="1" x14ac:dyDescent="0.3">
      <c r="B5" s="28" t="s">
        <v>31</v>
      </c>
      <c r="C5" s="57">
        <v>561420652</v>
      </c>
      <c r="D5" s="57">
        <v>6183326859</v>
      </c>
      <c r="E5" s="57">
        <v>10893</v>
      </c>
      <c r="F5" s="104" t="s">
        <v>20</v>
      </c>
      <c r="G5" s="106"/>
      <c r="K5" s="23" t="s">
        <v>21</v>
      </c>
    </row>
    <row r="6" spans="1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1:13" ht="15.75" x14ac:dyDescent="0.25">
      <c r="B7" s="48" t="s">
        <v>20</v>
      </c>
      <c r="C7" s="58">
        <f>+J8-2</f>
        <v>8.8930000000000007</v>
      </c>
      <c r="D7" s="100">
        <v>14072017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1:13" ht="30" x14ac:dyDescent="0.25">
      <c r="B8" s="31" t="s">
        <v>11</v>
      </c>
      <c r="C8" s="32"/>
      <c r="D8" s="101" t="s">
        <v>8</v>
      </c>
      <c r="E8" s="102"/>
      <c r="F8" s="102"/>
      <c r="G8" s="103"/>
      <c r="I8" s="39" t="s">
        <v>15</v>
      </c>
      <c r="J8" s="26">
        <f>+E5/1000</f>
        <v>10.893000000000001</v>
      </c>
      <c r="K8" s="8"/>
      <c r="L8" s="8"/>
      <c r="M8" s="38"/>
    </row>
    <row r="9" spans="1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1:13" x14ac:dyDescent="0.25">
      <c r="B10" s="7"/>
      <c r="C10" s="5"/>
      <c r="D10" s="5"/>
      <c r="E10" s="5"/>
      <c r="F10" s="8"/>
      <c r="G10" s="4"/>
      <c r="I10" s="41">
        <v>1</v>
      </c>
      <c r="J10" s="19">
        <f>2+4</f>
        <v>6</v>
      </c>
      <c r="K10" s="20">
        <f>+$J$8-I10</f>
        <v>9.8930000000000007</v>
      </c>
      <c r="L10" s="8"/>
      <c r="M10" s="38"/>
    </row>
    <row r="11" spans="1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5+7</f>
        <v>12</v>
      </c>
      <c r="K11" s="20">
        <f t="shared" ref="K11:K14" si="0">+$J$8-I11</f>
        <v>8.8930000000000007</v>
      </c>
      <c r="L11" s="8"/>
      <c r="M11" s="38"/>
    </row>
    <row r="12" spans="1:13" x14ac:dyDescent="0.25">
      <c r="B12" s="7"/>
      <c r="C12" s="8"/>
      <c r="D12" s="8"/>
      <c r="E12" s="8"/>
      <c r="F12" s="8"/>
      <c r="G12" s="9"/>
      <c r="I12" s="41">
        <v>3</v>
      </c>
      <c r="J12" s="19">
        <f>5+7</f>
        <v>12</v>
      </c>
      <c r="K12" s="20">
        <f t="shared" si="0"/>
        <v>7.8930000000000007</v>
      </c>
      <c r="L12" s="8"/>
      <c r="M12" s="38"/>
    </row>
    <row r="13" spans="1:13" x14ac:dyDescent="0.25">
      <c r="B13" s="7"/>
      <c r="C13" s="8"/>
      <c r="D13" s="8"/>
      <c r="E13" s="8"/>
      <c r="F13" s="8"/>
      <c r="G13" s="9"/>
      <c r="I13" s="41">
        <v>4</v>
      </c>
      <c r="J13" s="19">
        <f>5+9</f>
        <v>14</v>
      </c>
      <c r="K13" s="20">
        <f t="shared" si="0"/>
        <v>6.8930000000000007</v>
      </c>
      <c r="L13" s="8"/>
      <c r="M13" s="38"/>
    </row>
    <row r="14" spans="1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8+11</f>
        <v>19</v>
      </c>
      <c r="K14" s="20">
        <f t="shared" si="0"/>
        <v>5.8930000000000007</v>
      </c>
      <c r="L14" s="8"/>
      <c r="M14" s="38"/>
    </row>
    <row r="15" spans="1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41</v>
      </c>
      <c r="I15" s="41">
        <v>6</v>
      </c>
      <c r="J15" s="19">
        <f>17+22</f>
        <v>39</v>
      </c>
      <c r="K15" s="20">
        <f t="shared" ref="K15:K16" si="1">+$J$8-I15</f>
        <v>4.8930000000000007</v>
      </c>
      <c r="L15" s="8"/>
      <c r="M15" s="38"/>
    </row>
    <row r="16" spans="1:13" x14ac:dyDescent="0.25">
      <c r="B16" s="7"/>
      <c r="C16" s="8"/>
      <c r="D16" s="8"/>
      <c r="E16" s="50">
        <f t="shared" ref="E16:F19" si="2">+I11</f>
        <v>2</v>
      </c>
      <c r="F16" s="50">
        <f t="shared" si="2"/>
        <v>12</v>
      </c>
      <c r="G16" s="51" t="s">
        <v>45</v>
      </c>
      <c r="I16" s="41">
        <v>7</v>
      </c>
      <c r="J16" s="19">
        <f>25+34</f>
        <v>59</v>
      </c>
      <c r="K16" s="20">
        <f t="shared" si="1"/>
        <v>3.8930000000000007</v>
      </c>
      <c r="L16" s="8"/>
      <c r="M16" s="38"/>
    </row>
    <row r="17" spans="2:13" x14ac:dyDescent="0.25">
      <c r="B17" s="7"/>
      <c r="C17" s="8"/>
      <c r="D17" s="8"/>
      <c r="E17" s="50">
        <f t="shared" si="2"/>
        <v>3</v>
      </c>
      <c r="F17" s="50">
        <f t="shared" si="2"/>
        <v>12</v>
      </c>
      <c r="G17" s="51" t="s">
        <v>54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2"/>
        <v>4</v>
      </c>
      <c r="F18" s="50">
        <f t="shared" si="2"/>
        <v>14</v>
      </c>
      <c r="G18" s="51" t="s">
        <v>54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2"/>
        <v>5</v>
      </c>
      <c r="F19" s="50">
        <f t="shared" si="2"/>
        <v>19</v>
      </c>
      <c r="G19" s="51" t="s">
        <v>91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ref="E20" si="3">+I15</f>
        <v>6</v>
      </c>
      <c r="F20" s="50">
        <f t="shared" ref="F20" si="4">+J15</f>
        <v>39</v>
      </c>
      <c r="G20" s="51" t="s">
        <v>54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ref="E21:F26" si="5">+I16</f>
        <v>7</v>
      </c>
      <c r="F21" s="50">
        <f t="shared" si="5"/>
        <v>59</v>
      </c>
      <c r="G21" s="51" t="s">
        <v>54</v>
      </c>
      <c r="I21" s="34"/>
      <c r="J21" s="14">
        <v>0</v>
      </c>
      <c r="K21" s="15"/>
      <c r="L21" s="21">
        <f>+J8</f>
        <v>10.893000000000001</v>
      </c>
      <c r="M21" s="42" t="s">
        <v>17</v>
      </c>
    </row>
    <row r="22" spans="2:13" x14ac:dyDescent="0.25">
      <c r="B22" s="7"/>
      <c r="C22" s="8"/>
      <c r="D22" s="8"/>
      <c r="E22" s="50">
        <f t="shared" si="5"/>
        <v>0</v>
      </c>
      <c r="F22" s="50">
        <f t="shared" si="5"/>
        <v>0</v>
      </c>
      <c r="G22" s="51" t="s">
        <v>20</v>
      </c>
      <c r="I22" s="34"/>
      <c r="J22" s="10">
        <v>0</v>
      </c>
      <c r="K22" s="11"/>
      <c r="L22" s="22">
        <f>+K16</f>
        <v>3.8930000000000007</v>
      </c>
      <c r="M22" s="43" t="s">
        <v>18</v>
      </c>
    </row>
    <row r="23" spans="2:13" x14ac:dyDescent="0.25">
      <c r="B23" s="7"/>
      <c r="C23" s="8"/>
      <c r="D23" s="8"/>
      <c r="E23" s="50">
        <f t="shared" si="5"/>
        <v>0</v>
      </c>
      <c r="F23" s="50">
        <f t="shared" si="5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5"/>
        <v>0</v>
      </c>
      <c r="F24" s="50">
        <f t="shared" si="5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5"/>
        <v>0</v>
      </c>
      <c r="F25" s="50">
        <f t="shared" si="5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5"/>
        <v>0</v>
      </c>
      <c r="F26" s="50">
        <f t="shared" si="5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66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554808399</v>
      </c>
      <c r="D5" s="57">
        <v>6195611216</v>
      </c>
      <c r="E5" s="57">
        <v>27283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30062017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27.283000000000001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2+4</f>
        <v>6</v>
      </c>
      <c r="K10" s="20">
        <f>+$J$8-I10</f>
        <v>26.283000000000001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3+7</f>
        <v>10</v>
      </c>
      <c r="K11" s="20">
        <f t="shared" ref="K11:K19" si="0">+$J$8-I11</f>
        <v>25.283000000000001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5+7</f>
        <v>12</v>
      </c>
      <c r="K12" s="20">
        <f t="shared" si="0"/>
        <v>24.283000000000001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8+12</f>
        <v>20</v>
      </c>
      <c r="K13" s="20">
        <f t="shared" si="0"/>
        <v>23.283000000000001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10+16</f>
        <v>26</v>
      </c>
      <c r="K14" s="20">
        <f t="shared" si="0"/>
        <v>22.283000000000001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41</v>
      </c>
      <c r="I15" s="41">
        <v>6</v>
      </c>
      <c r="J15" s="19">
        <f>10+11</f>
        <v>21</v>
      </c>
      <c r="K15" s="20">
        <f t="shared" si="0"/>
        <v>21.283000000000001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41</v>
      </c>
      <c r="I16" s="41">
        <v>7</v>
      </c>
      <c r="J16" s="19">
        <f>12+18</f>
        <v>30</v>
      </c>
      <c r="K16" s="20">
        <f t="shared" si="0"/>
        <v>20.283000000000001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12</v>
      </c>
      <c r="G17" s="51" t="s">
        <v>42</v>
      </c>
      <c r="I17" s="41">
        <v>8</v>
      </c>
      <c r="J17" s="19">
        <f>17+20</f>
        <v>37</v>
      </c>
      <c r="K17" s="20">
        <f t="shared" si="0"/>
        <v>19.283000000000001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20</v>
      </c>
      <c r="G18" s="51" t="s">
        <v>42</v>
      </c>
      <c r="I18" s="41">
        <v>9</v>
      </c>
      <c r="J18" s="19">
        <f>20+23</f>
        <v>43</v>
      </c>
      <c r="K18" s="20">
        <f t="shared" si="0"/>
        <v>18.283000000000001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26</v>
      </c>
      <c r="G19" s="51" t="s">
        <v>44</v>
      </c>
      <c r="I19" s="41">
        <v>10</v>
      </c>
      <c r="J19" s="19">
        <f>24+28</f>
        <v>52</v>
      </c>
      <c r="K19" s="20">
        <f t="shared" si="0"/>
        <v>17.283000000000001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21</v>
      </c>
      <c r="G20" s="51" t="s">
        <v>44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30</v>
      </c>
      <c r="G21" s="51" t="s">
        <v>44</v>
      </c>
      <c r="I21" s="34"/>
      <c r="J21" s="14">
        <v>0</v>
      </c>
      <c r="K21" s="15"/>
      <c r="L21" s="21">
        <f>+J8</f>
        <v>27.283000000000001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37</v>
      </c>
      <c r="G22" s="51" t="s">
        <v>81</v>
      </c>
      <c r="I22" s="34"/>
      <c r="J22" s="10">
        <v>0</v>
      </c>
      <c r="K22" s="11"/>
      <c r="L22" s="22">
        <f>+K19</f>
        <v>17.283000000000001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43</v>
      </c>
      <c r="G23" s="51" t="s">
        <v>82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52</v>
      </c>
      <c r="G24" s="51" t="s">
        <v>82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67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554900924</v>
      </c>
      <c r="D5" s="57">
        <v>6196052560</v>
      </c>
      <c r="E5" s="57">
        <v>32519</v>
      </c>
      <c r="F5" s="109" t="s">
        <v>20</v>
      </c>
      <c r="G5" s="110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30062017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32.518999999999998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3+3</f>
        <v>6</v>
      </c>
      <c r="K10" s="20">
        <f>+$J$8-I10</f>
        <v>31.518999999999998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4+6</f>
        <v>10</v>
      </c>
      <c r="K11" s="20">
        <f t="shared" ref="K11:K18" si="0">+$J$8-I11</f>
        <v>30.518999999999998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5+7</f>
        <v>12</v>
      </c>
      <c r="K12" s="20">
        <f t="shared" si="0"/>
        <v>29.518999999999998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8+10</f>
        <v>18</v>
      </c>
      <c r="K13" s="20">
        <f t="shared" si="0"/>
        <v>28.518999999999998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10+16</f>
        <v>26</v>
      </c>
      <c r="K14" s="20">
        <f t="shared" si="0"/>
        <v>27.518999999999998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44</v>
      </c>
      <c r="I15" s="41">
        <v>6</v>
      </c>
      <c r="J15" s="19">
        <f>11+13</f>
        <v>24</v>
      </c>
      <c r="K15" s="20">
        <f t="shared" si="0"/>
        <v>26.518999999999998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44</v>
      </c>
      <c r="I16" s="41">
        <v>7</v>
      </c>
      <c r="J16" s="19">
        <f>12+15</f>
        <v>27</v>
      </c>
      <c r="K16" s="20">
        <f t="shared" si="0"/>
        <v>25.518999999999998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12</v>
      </c>
      <c r="G17" s="51" t="s">
        <v>79</v>
      </c>
      <c r="I17" s="41">
        <v>7.5</v>
      </c>
      <c r="J17" s="19">
        <f>19+23</f>
        <v>42</v>
      </c>
      <c r="K17" s="20">
        <f t="shared" si="0"/>
        <v>25.018999999999998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18</v>
      </c>
      <c r="G18" s="51" t="s">
        <v>80</v>
      </c>
      <c r="I18" s="41">
        <v>8</v>
      </c>
      <c r="J18" s="19">
        <f>24+29</f>
        <v>53</v>
      </c>
      <c r="K18" s="20">
        <f t="shared" si="0"/>
        <v>24.518999999999998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26</v>
      </c>
      <c r="G19" s="51" t="s">
        <v>80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24</v>
      </c>
      <c r="G20" s="51" t="s">
        <v>80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27</v>
      </c>
      <c r="G21" s="51" t="s">
        <v>80</v>
      </c>
      <c r="I21" s="34"/>
      <c r="J21" s="14">
        <v>0</v>
      </c>
      <c r="K21" s="15"/>
      <c r="L21" s="21">
        <f>+J8</f>
        <v>32.518999999999998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7.5</v>
      </c>
      <c r="F22" s="50">
        <f t="shared" si="1"/>
        <v>42</v>
      </c>
      <c r="G22" s="51" t="s">
        <v>50</v>
      </c>
      <c r="I22" s="34"/>
      <c r="J22" s="10">
        <v>0</v>
      </c>
      <c r="K22" s="11"/>
      <c r="L22" s="22">
        <f>+K18</f>
        <v>24.518999999999998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8</v>
      </c>
      <c r="F23" s="50">
        <f t="shared" si="1"/>
        <v>53</v>
      </c>
      <c r="G23" s="51" t="s">
        <v>50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68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555033025</v>
      </c>
      <c r="D5" s="57">
        <v>6196322472</v>
      </c>
      <c r="E5" s="57">
        <v>31119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30062017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31.119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3+4</f>
        <v>7</v>
      </c>
      <c r="K10" s="20">
        <f>+$J$8-I10</f>
        <v>30.119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7+9</f>
        <v>16</v>
      </c>
      <c r="K11" s="20">
        <f t="shared" ref="K11:K16" si="0">+$J$8-I11</f>
        <v>29.119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12+15</f>
        <v>27</v>
      </c>
      <c r="K12" s="20">
        <f t="shared" si="0"/>
        <v>28.119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11+17</f>
        <v>28</v>
      </c>
      <c r="K13" s="20">
        <f t="shared" si="0"/>
        <v>27.119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10+18</f>
        <v>28</v>
      </c>
      <c r="K14" s="20">
        <f t="shared" si="0"/>
        <v>26.119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45</v>
      </c>
      <c r="I15" s="41">
        <v>6</v>
      </c>
      <c r="J15" s="19">
        <f>20+24</f>
        <v>44</v>
      </c>
      <c r="K15" s="20">
        <f t="shared" si="0"/>
        <v>25.119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16</v>
      </c>
      <c r="G16" s="51" t="s">
        <v>45</v>
      </c>
      <c r="I16" s="41">
        <v>7</v>
      </c>
      <c r="J16" s="19">
        <f>27+33</f>
        <v>60</v>
      </c>
      <c r="K16" s="20">
        <f t="shared" si="0"/>
        <v>24.119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27</v>
      </c>
      <c r="G17" s="51" t="s">
        <v>57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28</v>
      </c>
      <c r="G18" s="51" t="s">
        <v>57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28</v>
      </c>
      <c r="G19" s="51" t="s">
        <v>44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44</v>
      </c>
      <c r="G20" s="51" t="s">
        <v>44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60</v>
      </c>
      <c r="G21" s="51" t="s">
        <v>44</v>
      </c>
      <c r="I21" s="34"/>
      <c r="J21" s="14">
        <v>0</v>
      </c>
      <c r="K21" s="15"/>
      <c r="L21" s="21">
        <f>+J8</f>
        <v>31.119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24.119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69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554828706</v>
      </c>
      <c r="D5" s="57">
        <v>6200109812</v>
      </c>
      <c r="E5" s="57">
        <v>48288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29062017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48.287999999999997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8+8</f>
        <v>16</v>
      </c>
      <c r="K10" s="20">
        <f>+$J$8-I10</f>
        <v>47.287999999999997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10+15</f>
        <v>25</v>
      </c>
      <c r="K11" s="20">
        <f t="shared" ref="K11:K12" si="0">+$J$8-I11</f>
        <v>46.287999999999997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19+35</f>
        <v>54</v>
      </c>
      <c r="K12" s="20">
        <f t="shared" si="0"/>
        <v>45.287999999999997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16</v>
      </c>
      <c r="G15" s="51" t="s">
        <v>41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25</v>
      </c>
      <c r="G16" s="51" t="s">
        <v>54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54</v>
      </c>
      <c r="G17" s="51" t="s">
        <v>42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48.287999999999997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+K12</f>
        <v>45.287999999999997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70" zoomScaleNormal="70" workbookViewId="0">
      <selection activeCell="E15" sqref="E15:G2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48</v>
      </c>
      <c r="E3" s="106"/>
      <c r="F3" s="104" t="s">
        <v>38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6186855185</v>
      </c>
      <c r="D5" s="57">
        <v>558569226</v>
      </c>
      <c r="E5" s="57">
        <v>46401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10062017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46.401000000000003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40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12+19</f>
        <v>31</v>
      </c>
      <c r="K10" s="20">
        <f>+$J$8-I10</f>
        <v>45.401000000000003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14+14</f>
        <v>28</v>
      </c>
      <c r="K11" s="20">
        <f t="shared" ref="K11:K20" si="0">+$J$8-I11</f>
        <v>44.401000000000003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14+17</f>
        <v>31</v>
      </c>
      <c r="K12" s="20">
        <f t="shared" si="0"/>
        <v>43.401000000000003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14+17</f>
        <v>31</v>
      </c>
      <c r="K13" s="20">
        <f t="shared" si="0"/>
        <v>42.401000000000003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18+15</f>
        <v>33</v>
      </c>
      <c r="K14" s="20">
        <f t="shared" si="0"/>
        <v>41.401000000000003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31</v>
      </c>
      <c r="G15" s="51" t="s">
        <v>41</v>
      </c>
      <c r="I15" s="41">
        <v>6</v>
      </c>
      <c r="J15" s="19">
        <f>22+27</f>
        <v>49</v>
      </c>
      <c r="K15" s="20">
        <f t="shared" si="0"/>
        <v>40.401000000000003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28</v>
      </c>
      <c r="G16" s="51" t="s">
        <v>44</v>
      </c>
      <c r="I16" s="41">
        <v>7</v>
      </c>
      <c r="J16" s="19">
        <f>15+17</f>
        <v>32</v>
      </c>
      <c r="K16" s="20">
        <f t="shared" si="0"/>
        <v>39.401000000000003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31</v>
      </c>
      <c r="G17" s="51" t="s">
        <v>44</v>
      </c>
      <c r="I17" s="41">
        <v>8</v>
      </c>
      <c r="J17" s="19">
        <f>10+14</f>
        <v>24</v>
      </c>
      <c r="K17" s="20">
        <f t="shared" si="0"/>
        <v>38.401000000000003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31</v>
      </c>
      <c r="G18" s="51" t="s">
        <v>43</v>
      </c>
      <c r="I18" s="41">
        <v>9</v>
      </c>
      <c r="J18" s="19">
        <f>27+42</f>
        <v>69</v>
      </c>
      <c r="K18" s="20">
        <f t="shared" si="0"/>
        <v>37.401000000000003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33</v>
      </c>
      <c r="G19" s="51" t="s">
        <v>43</v>
      </c>
      <c r="I19" s="41">
        <v>10</v>
      </c>
      <c r="J19" s="19">
        <f>36+35</f>
        <v>71</v>
      </c>
      <c r="K19" s="20">
        <f t="shared" si="0"/>
        <v>36.401000000000003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49</v>
      </c>
      <c r="G20" s="51" t="s">
        <v>49</v>
      </c>
      <c r="I20" s="41">
        <v>11</v>
      </c>
      <c r="J20" s="19">
        <f>34+43</f>
        <v>77</v>
      </c>
      <c r="K20" s="20">
        <f t="shared" si="0"/>
        <v>35.401000000000003</v>
      </c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32</v>
      </c>
      <c r="G21" s="51" t="s">
        <v>49</v>
      </c>
      <c r="I21" s="34"/>
      <c r="J21" s="14">
        <v>0</v>
      </c>
      <c r="K21" s="15"/>
      <c r="L21" s="21">
        <f>+J8</f>
        <v>46.401000000000003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24</v>
      </c>
      <c r="G22" s="51" t="s">
        <v>50</v>
      </c>
      <c r="I22" s="34"/>
      <c r="J22" s="10">
        <v>0</v>
      </c>
      <c r="K22" s="11"/>
      <c r="L22" s="22">
        <f>+K20</f>
        <v>35.401000000000003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69</v>
      </c>
      <c r="G23" s="51" t="s">
        <v>46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71</v>
      </c>
      <c r="G24" s="51" t="s">
        <v>46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11</v>
      </c>
      <c r="F25" s="50">
        <f t="shared" si="1"/>
        <v>77</v>
      </c>
      <c r="G25" s="51" t="s">
        <v>46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69" zoomScaleNormal="69" workbookViewId="0">
      <selection activeCell="C5" sqref="C5:E5"/>
    </sheetView>
  </sheetViews>
  <sheetFormatPr baseColWidth="10" defaultColWidth="8.796875" defaultRowHeight="15" x14ac:dyDescent="0.25"/>
  <cols>
    <col min="1" max="1" width="3.09765625" style="68" customWidth="1"/>
    <col min="2" max="5" width="12.69921875" style="68" customWidth="1"/>
    <col min="6" max="6" width="8.69921875" style="68" customWidth="1"/>
    <col min="7" max="7" width="4.69921875" style="68" customWidth="1"/>
    <col min="8" max="8" width="8.796875" style="68"/>
    <col min="9" max="9" width="12.3984375" style="68" customWidth="1"/>
    <col min="10" max="12" width="8.796875" style="68"/>
    <col min="13" max="13" width="10.69921875" style="68" bestFit="1" customWidth="1"/>
    <col min="14" max="16384" width="8.796875" style="68"/>
  </cols>
  <sheetData>
    <row r="2" spans="2:13" x14ac:dyDescent="0.25">
      <c r="B2" s="66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65"/>
      <c r="C3" s="28" t="s">
        <v>32</v>
      </c>
      <c r="D3" s="104" t="s">
        <v>75</v>
      </c>
      <c r="E3" s="106"/>
      <c r="F3" s="104" t="s">
        <v>70</v>
      </c>
      <c r="G3" s="106"/>
      <c r="K3" s="68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69" t="s">
        <v>22</v>
      </c>
    </row>
    <row r="5" spans="2:13" ht="16.5" thickBot="1" x14ac:dyDescent="0.3">
      <c r="B5" s="28" t="s">
        <v>31</v>
      </c>
      <c r="C5" s="57">
        <v>554932941</v>
      </c>
      <c r="D5" s="57">
        <v>6200351095</v>
      </c>
      <c r="E5" s="57">
        <v>45202</v>
      </c>
      <c r="F5" s="104" t="s">
        <v>20</v>
      </c>
      <c r="G5" s="106"/>
      <c r="K5" s="70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71"/>
      <c r="J6" s="72"/>
      <c r="K6" s="72"/>
      <c r="L6" s="72"/>
      <c r="M6" s="73"/>
    </row>
    <row r="7" spans="2:13" ht="15.75" x14ac:dyDescent="0.25">
      <c r="B7" s="65" t="s">
        <v>20</v>
      </c>
      <c r="C7" s="67" t="s">
        <v>25</v>
      </c>
      <c r="D7" s="65">
        <v>29062017</v>
      </c>
      <c r="E7" s="104" t="s">
        <v>36</v>
      </c>
      <c r="F7" s="105"/>
      <c r="G7" s="106"/>
      <c r="I7" s="74"/>
      <c r="J7" s="75"/>
      <c r="K7" s="75"/>
      <c r="L7" s="75"/>
      <c r="M7" s="76"/>
    </row>
    <row r="8" spans="2:13" ht="30" x14ac:dyDescent="0.25">
      <c r="B8" s="63" t="s">
        <v>11</v>
      </c>
      <c r="C8" s="64"/>
      <c r="D8" s="101" t="s">
        <v>8</v>
      </c>
      <c r="E8" s="102"/>
      <c r="F8" s="102"/>
      <c r="G8" s="103"/>
      <c r="I8" s="77" t="s">
        <v>15</v>
      </c>
      <c r="J8" s="26">
        <f>+E5/1000</f>
        <v>45.201999999999998</v>
      </c>
      <c r="K8" s="75"/>
      <c r="L8" s="75"/>
      <c r="M8" s="76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78" t="s">
        <v>12</v>
      </c>
      <c r="J9" s="79" t="s">
        <v>13</v>
      </c>
      <c r="K9" s="79" t="s">
        <v>14</v>
      </c>
      <c r="L9" s="75"/>
      <c r="M9" s="76"/>
    </row>
    <row r="10" spans="2:13" x14ac:dyDescent="0.25">
      <c r="B10" s="80"/>
      <c r="C10" s="5"/>
      <c r="D10" s="5"/>
      <c r="E10" s="5"/>
      <c r="F10" s="75"/>
      <c r="G10" s="4"/>
      <c r="I10" s="41">
        <v>1</v>
      </c>
      <c r="J10" s="19">
        <f>5+5</f>
        <v>10</v>
      </c>
      <c r="K10" s="81">
        <f>+$J$8-I10</f>
        <v>44.201999999999998</v>
      </c>
      <c r="L10" s="75"/>
      <c r="M10" s="76"/>
    </row>
    <row r="11" spans="2:13" ht="15.75" x14ac:dyDescent="0.25">
      <c r="B11" s="80"/>
      <c r="C11" s="3"/>
      <c r="D11" s="3"/>
      <c r="E11" s="3"/>
      <c r="F11" s="75"/>
      <c r="G11" s="6"/>
      <c r="I11" s="41">
        <v>2</v>
      </c>
      <c r="J11" s="19">
        <f>7+11</f>
        <v>18</v>
      </c>
      <c r="K11" s="81">
        <f t="shared" ref="K11:K16" si="0">+$J$8-I11</f>
        <v>43.201999999999998</v>
      </c>
      <c r="L11" s="75"/>
      <c r="M11" s="76"/>
    </row>
    <row r="12" spans="2:13" x14ac:dyDescent="0.25">
      <c r="B12" s="80"/>
      <c r="C12" s="75"/>
      <c r="D12" s="75"/>
      <c r="E12" s="75"/>
      <c r="F12" s="75"/>
      <c r="G12" s="82"/>
      <c r="I12" s="41">
        <v>3</v>
      </c>
      <c r="J12" s="19">
        <f>9+10</f>
        <v>19</v>
      </c>
      <c r="K12" s="81">
        <f t="shared" si="0"/>
        <v>42.201999999999998</v>
      </c>
      <c r="L12" s="75"/>
      <c r="M12" s="76"/>
    </row>
    <row r="13" spans="2:13" x14ac:dyDescent="0.25">
      <c r="B13" s="80"/>
      <c r="C13" s="75"/>
      <c r="D13" s="75"/>
      <c r="E13" s="75"/>
      <c r="F13" s="75"/>
      <c r="G13" s="82"/>
      <c r="I13" s="41">
        <v>4</v>
      </c>
      <c r="J13" s="19">
        <f>10+14</f>
        <v>24</v>
      </c>
      <c r="K13" s="81">
        <f t="shared" si="0"/>
        <v>41.201999999999998</v>
      </c>
      <c r="L13" s="75"/>
      <c r="M13" s="76"/>
    </row>
    <row r="14" spans="2:13" x14ac:dyDescent="0.25">
      <c r="B14" s="80"/>
      <c r="C14" s="75"/>
      <c r="D14" s="75"/>
      <c r="E14" s="83" t="s">
        <v>24</v>
      </c>
      <c r="F14" s="84" t="s">
        <v>23</v>
      </c>
      <c r="G14" s="85" t="s">
        <v>16</v>
      </c>
      <c r="I14" s="41">
        <v>5</v>
      </c>
      <c r="J14" s="19">
        <f>10+15</f>
        <v>25</v>
      </c>
      <c r="K14" s="81">
        <f t="shared" si="0"/>
        <v>40.201999999999998</v>
      </c>
      <c r="L14" s="75"/>
      <c r="M14" s="76"/>
    </row>
    <row r="15" spans="2:13" x14ac:dyDescent="0.25">
      <c r="B15" s="80"/>
      <c r="C15" s="75"/>
      <c r="D15" s="75"/>
      <c r="E15" s="50">
        <f>+I10</f>
        <v>1</v>
      </c>
      <c r="F15" s="50">
        <f>+J10</f>
        <v>10</v>
      </c>
      <c r="G15" s="51" t="s">
        <v>44</v>
      </c>
      <c r="I15" s="41">
        <v>6</v>
      </c>
      <c r="J15" s="19">
        <f>14+18</f>
        <v>32</v>
      </c>
      <c r="K15" s="81">
        <f t="shared" si="0"/>
        <v>39.201999999999998</v>
      </c>
      <c r="L15" s="75"/>
      <c r="M15" s="76"/>
    </row>
    <row r="16" spans="2:13" x14ac:dyDescent="0.25">
      <c r="B16" s="80"/>
      <c r="C16" s="75"/>
      <c r="D16" s="75"/>
      <c r="E16" s="50">
        <f t="shared" ref="E16:F26" si="1">+I11</f>
        <v>2</v>
      </c>
      <c r="F16" s="50">
        <f t="shared" si="1"/>
        <v>18</v>
      </c>
      <c r="G16" s="51" t="s">
        <v>55</v>
      </c>
      <c r="I16" s="41">
        <v>7</v>
      </c>
      <c r="J16" s="19">
        <f>22+33</f>
        <v>55</v>
      </c>
      <c r="K16" s="81">
        <f t="shared" si="0"/>
        <v>38.201999999999998</v>
      </c>
      <c r="L16" s="75"/>
      <c r="M16" s="76"/>
    </row>
    <row r="17" spans="2:13" x14ac:dyDescent="0.25">
      <c r="B17" s="80"/>
      <c r="C17" s="75"/>
      <c r="D17" s="75"/>
      <c r="E17" s="50">
        <f t="shared" si="1"/>
        <v>3</v>
      </c>
      <c r="F17" s="50">
        <f t="shared" si="1"/>
        <v>19</v>
      </c>
      <c r="G17" s="51" t="s">
        <v>43</v>
      </c>
      <c r="I17" s="41"/>
      <c r="J17" s="19"/>
      <c r="K17" s="81"/>
      <c r="L17" s="75"/>
      <c r="M17" s="76"/>
    </row>
    <row r="18" spans="2:13" x14ac:dyDescent="0.25">
      <c r="B18" s="80"/>
      <c r="C18" s="75"/>
      <c r="D18" s="75"/>
      <c r="E18" s="50">
        <f t="shared" si="1"/>
        <v>4</v>
      </c>
      <c r="F18" s="50">
        <f t="shared" si="1"/>
        <v>24</v>
      </c>
      <c r="G18" s="51" t="s">
        <v>43</v>
      </c>
      <c r="I18" s="41"/>
      <c r="J18" s="19"/>
      <c r="K18" s="81"/>
      <c r="L18" s="75"/>
      <c r="M18" s="76"/>
    </row>
    <row r="19" spans="2:13" x14ac:dyDescent="0.25">
      <c r="B19" s="80"/>
      <c r="C19" s="75"/>
      <c r="D19" s="75"/>
      <c r="E19" s="50">
        <f t="shared" si="1"/>
        <v>5</v>
      </c>
      <c r="F19" s="50">
        <f t="shared" si="1"/>
        <v>25</v>
      </c>
      <c r="G19" s="51" t="s">
        <v>52</v>
      </c>
      <c r="I19" s="41"/>
      <c r="J19" s="19"/>
      <c r="K19" s="81"/>
      <c r="L19" s="75"/>
      <c r="M19" s="76"/>
    </row>
    <row r="20" spans="2:13" x14ac:dyDescent="0.25">
      <c r="B20" s="80"/>
      <c r="C20" s="75"/>
      <c r="D20" s="75"/>
      <c r="E20" s="50">
        <f t="shared" si="1"/>
        <v>6</v>
      </c>
      <c r="F20" s="50">
        <f t="shared" si="1"/>
        <v>32</v>
      </c>
      <c r="G20" s="51" t="s">
        <v>78</v>
      </c>
      <c r="I20" s="41"/>
      <c r="J20" s="19"/>
      <c r="K20" s="81"/>
      <c r="L20" s="75"/>
      <c r="M20" s="76"/>
    </row>
    <row r="21" spans="2:13" x14ac:dyDescent="0.25">
      <c r="B21" s="80"/>
      <c r="C21" s="75"/>
      <c r="D21" s="75"/>
      <c r="E21" s="50">
        <f t="shared" si="1"/>
        <v>7</v>
      </c>
      <c r="F21" s="50">
        <f t="shared" si="1"/>
        <v>55</v>
      </c>
      <c r="G21" s="51" t="s">
        <v>45</v>
      </c>
      <c r="I21" s="74"/>
      <c r="J21" s="86">
        <v>0</v>
      </c>
      <c r="K21" s="87"/>
      <c r="L21" s="88">
        <f>+J8</f>
        <v>45.201999999999998</v>
      </c>
      <c r="M21" s="89" t="s">
        <v>17</v>
      </c>
    </row>
    <row r="22" spans="2:13" x14ac:dyDescent="0.25">
      <c r="B22" s="80"/>
      <c r="C22" s="75"/>
      <c r="D22" s="75"/>
      <c r="E22" s="50">
        <f t="shared" si="1"/>
        <v>0</v>
      </c>
      <c r="F22" s="50">
        <f t="shared" si="1"/>
        <v>0</v>
      </c>
      <c r="G22" s="51" t="s">
        <v>20</v>
      </c>
      <c r="I22" s="74"/>
      <c r="J22" s="90">
        <v>0</v>
      </c>
      <c r="K22" s="91"/>
      <c r="L22" s="92">
        <f>+K16</f>
        <v>38.201999999999998</v>
      </c>
      <c r="M22" s="93" t="s">
        <v>18</v>
      </c>
    </row>
    <row r="23" spans="2:13" x14ac:dyDescent="0.25">
      <c r="B23" s="80"/>
      <c r="C23" s="75"/>
      <c r="D23" s="75"/>
      <c r="E23" s="50">
        <f t="shared" si="1"/>
        <v>0</v>
      </c>
      <c r="F23" s="50">
        <f t="shared" si="1"/>
        <v>0</v>
      </c>
      <c r="G23" s="51" t="s">
        <v>20</v>
      </c>
      <c r="I23" s="74"/>
      <c r="J23" s="75"/>
      <c r="K23" s="75"/>
      <c r="L23" s="94"/>
      <c r="M23" s="95"/>
    </row>
    <row r="24" spans="2:13" x14ac:dyDescent="0.25">
      <c r="B24" s="80"/>
      <c r="C24" s="75"/>
      <c r="D24" s="75"/>
      <c r="E24" s="50">
        <f t="shared" si="1"/>
        <v>0</v>
      </c>
      <c r="F24" s="50">
        <f t="shared" si="1"/>
        <v>0</v>
      </c>
      <c r="G24" s="51" t="s">
        <v>20</v>
      </c>
      <c r="I24" s="74"/>
      <c r="J24" s="75"/>
      <c r="K24" s="75"/>
      <c r="L24" s="75"/>
      <c r="M24" s="95"/>
    </row>
    <row r="25" spans="2:13" x14ac:dyDescent="0.25">
      <c r="B25" s="80"/>
      <c r="C25" s="75"/>
      <c r="D25" s="75"/>
      <c r="E25" s="50">
        <f t="shared" si="1"/>
        <v>0</v>
      </c>
      <c r="F25" s="50">
        <f t="shared" si="1"/>
        <v>0</v>
      </c>
      <c r="G25" s="51" t="s">
        <v>20</v>
      </c>
      <c r="I25" s="74" t="s">
        <v>28</v>
      </c>
      <c r="J25" s="75"/>
      <c r="K25" s="75"/>
      <c r="L25" s="75"/>
      <c r="M25" s="76"/>
    </row>
    <row r="26" spans="2:13" ht="15.75" thickBot="1" x14ac:dyDescent="0.3">
      <c r="B26" s="80"/>
      <c r="C26" s="75"/>
      <c r="D26" s="75"/>
      <c r="E26" s="50">
        <f t="shared" si="1"/>
        <v>0</v>
      </c>
      <c r="F26" s="50">
        <f t="shared" si="1"/>
        <v>0</v>
      </c>
      <c r="G26" s="51" t="s">
        <v>20</v>
      </c>
      <c r="I26" s="96"/>
      <c r="J26" s="97"/>
      <c r="K26" s="97"/>
      <c r="L26" s="97"/>
      <c r="M26" s="98"/>
    </row>
    <row r="27" spans="2:13" x14ac:dyDescent="0.25">
      <c r="B27" s="80"/>
      <c r="C27" s="75"/>
      <c r="D27" s="75"/>
      <c r="E27" s="75"/>
      <c r="F27" s="75"/>
      <c r="G27" s="82"/>
    </row>
    <row r="28" spans="2:13" x14ac:dyDescent="0.25">
      <c r="B28" s="90"/>
      <c r="C28" s="91"/>
      <c r="D28" s="91"/>
      <c r="E28" s="91"/>
      <c r="F28" s="91"/>
      <c r="G28" s="85"/>
      <c r="J28" s="68" t="s">
        <v>29</v>
      </c>
    </row>
    <row r="30" spans="2:13" x14ac:dyDescent="0.25">
      <c r="B30" s="68" t="s">
        <v>26</v>
      </c>
    </row>
    <row r="31" spans="2:13" x14ac:dyDescent="0.25">
      <c r="B31" s="68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71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555068766</v>
      </c>
      <c r="D5" s="57">
        <v>6200563355</v>
      </c>
      <c r="E5" s="57">
        <v>49662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29062017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49.661999999999999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6+10</f>
        <v>16</v>
      </c>
      <c r="K10" s="20">
        <f>+$J$8-I10</f>
        <v>48.661999999999999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8+11</f>
        <v>19</v>
      </c>
      <c r="K11" s="20">
        <f t="shared" ref="K11:K16" si="0">+$J$8-I11</f>
        <v>47.661999999999999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14+15</f>
        <v>29</v>
      </c>
      <c r="K12" s="20">
        <f t="shared" si="0"/>
        <v>46.661999999999999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12+16</f>
        <v>28</v>
      </c>
      <c r="K13" s="20">
        <f t="shared" si="0"/>
        <v>45.661999999999999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14+14</f>
        <v>28</v>
      </c>
      <c r="K14" s="20">
        <f t="shared" si="0"/>
        <v>44.661999999999999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16</v>
      </c>
      <c r="G15" s="51" t="s">
        <v>41</v>
      </c>
      <c r="I15" s="41">
        <v>6</v>
      </c>
      <c r="J15" s="19">
        <f>14+19</f>
        <v>33</v>
      </c>
      <c r="K15" s="20">
        <f t="shared" si="0"/>
        <v>43.661999999999999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19</v>
      </c>
      <c r="G16" s="51" t="s">
        <v>41</v>
      </c>
      <c r="I16" s="41">
        <v>7</v>
      </c>
      <c r="J16" s="19">
        <v>50</v>
      </c>
      <c r="K16" s="20">
        <f t="shared" si="0"/>
        <v>42.661999999999999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29</v>
      </c>
      <c r="G17" s="51" t="s">
        <v>41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28</v>
      </c>
      <c r="G18" s="51" t="s">
        <v>54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28</v>
      </c>
      <c r="G19" s="51" t="s">
        <v>44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33</v>
      </c>
      <c r="G20" s="51" t="s">
        <v>43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50</v>
      </c>
      <c r="G21" s="51" t="s">
        <v>77</v>
      </c>
      <c r="I21" s="34"/>
      <c r="J21" s="14">
        <v>0</v>
      </c>
      <c r="K21" s="15"/>
      <c r="L21" s="21">
        <f>+J8</f>
        <v>49.661999999999999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42.661999999999999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89843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72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555318208</v>
      </c>
      <c r="D5" s="57">
        <v>6200900311</v>
      </c>
      <c r="E5" s="57">
        <v>48472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28062017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48.472000000000001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6+7</f>
        <v>13</v>
      </c>
      <c r="K10" s="20">
        <f>+$J$8-I10</f>
        <v>47.472000000000001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9+11</f>
        <v>20</v>
      </c>
      <c r="K11" s="20">
        <f t="shared" ref="K11:K17" si="0">+$J$8-I11</f>
        <v>46.472000000000001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7+14</f>
        <v>21</v>
      </c>
      <c r="K12" s="20">
        <f t="shared" si="0"/>
        <v>45.472000000000001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8+13</f>
        <v>21</v>
      </c>
      <c r="K13" s="20">
        <f t="shared" si="0"/>
        <v>44.472000000000001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10+15</f>
        <v>25</v>
      </c>
      <c r="K14" s="20">
        <f t="shared" si="0"/>
        <v>43.472000000000001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41</v>
      </c>
      <c r="I15" s="41">
        <v>6</v>
      </c>
      <c r="J15" s="19">
        <f>12+17</f>
        <v>29</v>
      </c>
      <c r="K15" s="20">
        <f t="shared" si="0"/>
        <v>42.472000000000001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20</v>
      </c>
      <c r="G16" s="51" t="s">
        <v>43</v>
      </c>
      <c r="I16" s="41">
        <v>7</v>
      </c>
      <c r="J16" s="19">
        <f>15+24</f>
        <v>39</v>
      </c>
      <c r="K16" s="20">
        <f t="shared" si="0"/>
        <v>41.472000000000001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21</v>
      </c>
      <c r="G17" s="51" t="s">
        <v>54</v>
      </c>
      <c r="I17" s="41">
        <v>8</v>
      </c>
      <c r="J17" s="19">
        <v>50</v>
      </c>
      <c r="K17" s="20">
        <f t="shared" si="0"/>
        <v>40.472000000000001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21</v>
      </c>
      <c r="G18" s="51" t="s">
        <v>53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25</v>
      </c>
      <c r="G19" s="51" t="s">
        <v>51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29</v>
      </c>
      <c r="G20" s="51" t="s">
        <v>42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39</v>
      </c>
      <c r="G21" s="51" t="s">
        <v>42</v>
      </c>
      <c r="I21" s="34"/>
      <c r="J21" s="14">
        <v>0</v>
      </c>
      <c r="K21" s="15"/>
      <c r="L21" s="21">
        <f>+J8</f>
        <v>48.472000000000001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50</v>
      </c>
      <c r="G22" s="51" t="s">
        <v>44</v>
      </c>
      <c r="I22" s="34"/>
      <c r="J22" s="10">
        <v>0</v>
      </c>
      <c r="K22" s="11"/>
      <c r="L22" s="22">
        <f>+K17</f>
        <v>40.472000000000001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73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555495445</v>
      </c>
      <c r="D5" s="57">
        <v>6201161205</v>
      </c>
      <c r="E5" s="57">
        <v>47601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28062017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47.600999999999999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4+6</f>
        <v>10</v>
      </c>
      <c r="K10" s="20">
        <f>+$J$8-I10</f>
        <v>46.600999999999999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8+15</f>
        <v>23</v>
      </c>
      <c r="K11" s="20">
        <f t="shared" ref="K11:K17" si="0">+$J$8-I11</f>
        <v>45.600999999999999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8+17</f>
        <v>25</v>
      </c>
      <c r="K12" s="20">
        <f t="shared" si="0"/>
        <v>44.600999999999999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11+12</f>
        <v>23</v>
      </c>
      <c r="K13" s="20">
        <f t="shared" si="0"/>
        <v>43.600999999999999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13+19</f>
        <v>32</v>
      </c>
      <c r="K14" s="20">
        <f t="shared" si="0"/>
        <v>42.600999999999999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41</v>
      </c>
      <c r="I15" s="41">
        <v>6</v>
      </c>
      <c r="J15" s="19">
        <f>11+16</f>
        <v>27</v>
      </c>
      <c r="K15" s="20">
        <f t="shared" si="0"/>
        <v>41.600999999999999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23</v>
      </c>
      <c r="G16" s="51" t="s">
        <v>43</v>
      </c>
      <c r="I16" s="41">
        <v>7</v>
      </c>
      <c r="J16" s="19">
        <f>13+18</f>
        <v>31</v>
      </c>
      <c r="K16" s="20">
        <f t="shared" si="0"/>
        <v>40.600999999999999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25</v>
      </c>
      <c r="G17" s="51" t="s">
        <v>51</v>
      </c>
      <c r="I17" s="41">
        <v>8</v>
      </c>
      <c r="J17" s="19">
        <v>50</v>
      </c>
      <c r="K17" s="20">
        <f t="shared" si="0"/>
        <v>39.600999999999999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23</v>
      </c>
      <c r="G18" s="51" t="s">
        <v>51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32</v>
      </c>
      <c r="G19" s="51" t="s">
        <v>51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27</v>
      </c>
      <c r="G20" s="51" t="s">
        <v>44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31</v>
      </c>
      <c r="G21" s="51" t="s">
        <v>44</v>
      </c>
      <c r="I21" s="34"/>
      <c r="J21" s="14">
        <v>0</v>
      </c>
      <c r="K21" s="15"/>
      <c r="L21" s="21">
        <f>+J8</f>
        <v>47.600999999999999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50</v>
      </c>
      <c r="G22" s="51" t="s">
        <v>76</v>
      </c>
      <c r="I22" s="34"/>
      <c r="J22" s="10">
        <v>0</v>
      </c>
      <c r="K22" s="11"/>
      <c r="L22" s="22">
        <f>+K17</f>
        <v>39.600999999999999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="68" zoomScaleNormal="68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61"/>
      <c r="C3" s="28" t="s">
        <v>32</v>
      </c>
      <c r="D3" s="104" t="s">
        <v>75</v>
      </c>
      <c r="E3" s="106"/>
      <c r="F3" s="104" t="s">
        <v>74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555576587</v>
      </c>
      <c r="D5" s="57">
        <v>6201544027</v>
      </c>
      <c r="E5" s="57">
        <v>52575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1">
        <v>28062017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101" t="s">
        <v>8</v>
      </c>
      <c r="E8" s="102"/>
      <c r="F8" s="102"/>
      <c r="G8" s="103"/>
      <c r="I8" s="39" t="s">
        <v>15</v>
      </c>
      <c r="J8" s="26">
        <f>+E5/1000</f>
        <v>52.575000000000003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3+6</f>
        <v>9</v>
      </c>
      <c r="K10" s="20">
        <f>+$J$8-I10</f>
        <v>51.575000000000003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5+5</f>
        <v>10</v>
      </c>
      <c r="K11" s="20">
        <f t="shared" ref="K11:K18" si="0">+$J$8-I11</f>
        <v>50.575000000000003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5+6</f>
        <v>11</v>
      </c>
      <c r="K12" s="20">
        <f t="shared" si="0"/>
        <v>49.575000000000003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7+10</f>
        <v>17</v>
      </c>
      <c r="K13" s="20">
        <f t="shared" si="0"/>
        <v>48.575000000000003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12+15</f>
        <v>27</v>
      </c>
      <c r="K14" s="20">
        <f t="shared" si="0"/>
        <v>47.575000000000003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41</v>
      </c>
      <c r="I15" s="41">
        <v>6</v>
      </c>
      <c r="J15" s="19">
        <f>13+21</f>
        <v>34</v>
      </c>
      <c r="K15" s="20">
        <f t="shared" si="0"/>
        <v>46.575000000000003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45</v>
      </c>
      <c r="I16" s="41">
        <v>7</v>
      </c>
      <c r="J16" s="19">
        <f>16+17</f>
        <v>33</v>
      </c>
      <c r="K16" s="20">
        <f t="shared" si="0"/>
        <v>45.575000000000003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11</v>
      </c>
      <c r="G17" s="51" t="s">
        <v>41</v>
      </c>
      <c r="I17" s="41">
        <v>8</v>
      </c>
      <c r="J17" s="19">
        <f>15+20</f>
        <v>35</v>
      </c>
      <c r="K17" s="20">
        <f t="shared" si="0"/>
        <v>44.575000000000003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17</v>
      </c>
      <c r="G18" s="51" t="s">
        <v>47</v>
      </c>
      <c r="I18" s="41">
        <v>9</v>
      </c>
      <c r="J18" s="19">
        <v>50</v>
      </c>
      <c r="K18" s="20">
        <f t="shared" si="0"/>
        <v>43.575000000000003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27</v>
      </c>
      <c r="G19" s="51" t="s">
        <v>47</v>
      </c>
      <c r="I19" s="99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34</v>
      </c>
      <c r="G20" s="51" t="s">
        <v>47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33</v>
      </c>
      <c r="G21" s="51" t="s">
        <v>43</v>
      </c>
      <c r="I21" s="34"/>
      <c r="J21" s="14">
        <v>0</v>
      </c>
      <c r="K21" s="15"/>
      <c r="L21" s="21">
        <f>+J8</f>
        <v>52.575000000000003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35</v>
      </c>
      <c r="G22" s="51" t="s">
        <v>43</v>
      </c>
      <c r="I22" s="34"/>
      <c r="J22" s="10">
        <v>0</v>
      </c>
      <c r="K22" s="11"/>
      <c r="L22" s="22">
        <f>+K18</f>
        <v>43.575000000000003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50</v>
      </c>
      <c r="G23" s="51" t="s">
        <v>43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60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561295845</v>
      </c>
      <c r="D5" s="57">
        <v>6183411987</v>
      </c>
      <c r="E5" s="57">
        <v>8985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+J8-2</f>
        <v>6.9849999999999994</v>
      </c>
      <c r="D7" s="100">
        <v>14072017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8.9849999999999994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4+4</f>
        <v>8</v>
      </c>
      <c r="K10" s="20">
        <f>+$J$8-I10</f>
        <v>7.9849999999999994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5+6</f>
        <v>11</v>
      </c>
      <c r="K11" s="20">
        <f t="shared" ref="K11:K17" si="0">+$J$8-I11</f>
        <v>6.9849999999999994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5+7</f>
        <v>12</v>
      </c>
      <c r="K12" s="20">
        <f t="shared" si="0"/>
        <v>5.9849999999999994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5+9</f>
        <v>14</v>
      </c>
      <c r="K13" s="20">
        <f t="shared" si="0"/>
        <v>4.9849999999999994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14+20</f>
        <v>34</v>
      </c>
      <c r="K14" s="20">
        <f t="shared" si="0"/>
        <v>3.9849999999999994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45</v>
      </c>
      <c r="I15" s="41">
        <v>6</v>
      </c>
      <c r="J15" s="19">
        <f>16+24</f>
        <v>40</v>
      </c>
      <c r="K15" s="20">
        <f t="shared" si="0"/>
        <v>2.9849999999999994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11</v>
      </c>
      <c r="G16" s="51" t="s">
        <v>45</v>
      </c>
      <c r="I16" s="41">
        <v>7</v>
      </c>
      <c r="J16" s="19">
        <f>20+25</f>
        <v>45</v>
      </c>
      <c r="K16" s="20">
        <f t="shared" si="0"/>
        <v>1.9849999999999994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12</v>
      </c>
      <c r="G17" s="51" t="s">
        <v>45</v>
      </c>
      <c r="I17" s="41">
        <v>8</v>
      </c>
      <c r="J17" s="19">
        <f>26+36</f>
        <v>62</v>
      </c>
      <c r="K17" s="20">
        <f t="shared" si="0"/>
        <v>0.98499999999999943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14</v>
      </c>
      <c r="G18" s="51" t="s">
        <v>92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34</v>
      </c>
      <c r="G19" s="51" t="s">
        <v>45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40</v>
      </c>
      <c r="G20" s="51" t="s">
        <v>93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45</v>
      </c>
      <c r="G21" s="51" t="s">
        <v>51</v>
      </c>
      <c r="I21" s="34"/>
      <c r="J21" s="14">
        <v>0</v>
      </c>
      <c r="K21" s="15"/>
      <c r="L21" s="21">
        <f>+J8</f>
        <v>8.9849999999999994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62</v>
      </c>
      <c r="G22" s="51" t="s">
        <v>51</v>
      </c>
      <c r="I22" s="34"/>
      <c r="J22" s="10">
        <v>0</v>
      </c>
      <c r="K22" s="11"/>
      <c r="L22" s="22">
        <f>+K17</f>
        <v>0.98499999999999943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15" sqref="E15:G2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59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560847679</v>
      </c>
      <c r="D5" s="57">
        <v>6183947055</v>
      </c>
      <c r="E5" s="57">
        <v>9238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</f>
        <v>8.2379999999999995</v>
      </c>
      <c r="D7" s="54">
        <v>14072017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9.2379999999999995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2+2</f>
        <v>4</v>
      </c>
      <c r="K10" s="20">
        <f>+$J$8-I10</f>
        <v>8.2379999999999995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2+2</f>
        <v>4</v>
      </c>
      <c r="K11" s="20">
        <f t="shared" ref="K11:K17" si="0">+$J$8-I11</f>
        <v>7.2379999999999995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2+2</f>
        <v>4</v>
      </c>
      <c r="K12" s="20">
        <f t="shared" si="0"/>
        <v>6.2379999999999995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3+3</f>
        <v>6</v>
      </c>
      <c r="K13" s="20">
        <f t="shared" si="0"/>
        <v>5.2379999999999995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4+6</f>
        <v>10</v>
      </c>
      <c r="K14" s="20">
        <f t="shared" si="0"/>
        <v>4.2379999999999995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4</v>
      </c>
      <c r="G15" s="51" t="s">
        <v>41</v>
      </c>
      <c r="I15" s="41">
        <v>6</v>
      </c>
      <c r="J15" s="19">
        <f>19+24</f>
        <v>43</v>
      </c>
      <c r="K15" s="20">
        <f t="shared" si="0"/>
        <v>3.2379999999999995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4</v>
      </c>
      <c r="G16" s="51" t="s">
        <v>41</v>
      </c>
      <c r="I16" s="41">
        <v>7</v>
      </c>
      <c r="J16" s="19">
        <f>21+25</f>
        <v>46</v>
      </c>
      <c r="K16" s="20">
        <f t="shared" si="0"/>
        <v>2.2379999999999995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4</v>
      </c>
      <c r="G17" s="51" t="s">
        <v>44</v>
      </c>
      <c r="I17" s="41">
        <v>8</v>
      </c>
      <c r="J17" s="19">
        <f>29+37</f>
        <v>66</v>
      </c>
      <c r="K17" s="20">
        <f t="shared" si="0"/>
        <v>1.2379999999999995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6</v>
      </c>
      <c r="G18" s="51" t="s">
        <v>44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10</v>
      </c>
      <c r="G19" s="51" t="s">
        <v>44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43</v>
      </c>
      <c r="G20" s="51" t="s">
        <v>51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46</v>
      </c>
      <c r="G21" s="51" t="s">
        <v>51</v>
      </c>
      <c r="I21" s="34"/>
      <c r="J21" s="14">
        <v>0</v>
      </c>
      <c r="K21" s="15"/>
      <c r="L21" s="21">
        <f>+J8</f>
        <v>9.2379999999999995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66</v>
      </c>
      <c r="G22" s="51" t="s">
        <v>51</v>
      </c>
      <c r="I22" s="34"/>
      <c r="J22" s="10">
        <v>0</v>
      </c>
      <c r="K22" s="11"/>
      <c r="L22" s="22">
        <f>+K17</f>
        <v>1.2379999999999995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58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554452739</v>
      </c>
      <c r="D5" s="57">
        <v>6192855913</v>
      </c>
      <c r="E5" s="57">
        <v>30621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29062017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30.620999999999999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7+7</f>
        <v>14</v>
      </c>
      <c r="K10" s="20">
        <f>+$J$8-I10</f>
        <v>29.620999999999999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8+10</f>
        <v>18</v>
      </c>
      <c r="K11" s="20">
        <f t="shared" ref="K11:K15" si="0">+$J$8-I11</f>
        <v>28.620999999999999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11+13</f>
        <v>24</v>
      </c>
      <c r="K12" s="20">
        <f t="shared" si="0"/>
        <v>27.620999999999999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10+12</f>
        <v>22</v>
      </c>
      <c r="K13" s="20">
        <f t="shared" si="0"/>
        <v>26.620999999999999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13+17</f>
        <v>30</v>
      </c>
      <c r="K14" s="20">
        <f t="shared" si="0"/>
        <v>25.620999999999999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14</v>
      </c>
      <c r="G15" s="51" t="s">
        <v>47</v>
      </c>
      <c r="I15" s="41">
        <v>6</v>
      </c>
      <c r="J15" s="19">
        <f>30+44</f>
        <v>74</v>
      </c>
      <c r="K15" s="20">
        <f t="shared" si="0"/>
        <v>24.620999999999999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18</v>
      </c>
      <c r="G16" s="51" t="s">
        <v>88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24</v>
      </c>
      <c r="G17" s="51" t="s">
        <v>89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22</v>
      </c>
      <c r="G18" s="51" t="s">
        <v>51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30</v>
      </c>
      <c r="G19" s="51" t="s">
        <v>51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74</v>
      </c>
      <c r="G20" s="51" t="s">
        <v>90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30.620999999999999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24.620999999999999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62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554383312</v>
      </c>
      <c r="D5" s="57">
        <v>6192997405</v>
      </c>
      <c r="E5" s="57">
        <v>29935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29062017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29.934999999999999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5+8</f>
        <v>13</v>
      </c>
      <c r="K10" s="20">
        <f>+$J$8-I10</f>
        <v>28.934999999999999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7+8</f>
        <v>15</v>
      </c>
      <c r="K11" s="20">
        <f t="shared" ref="K11:K15" si="0">+$J$8-I11</f>
        <v>27.934999999999999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11+10</f>
        <v>21</v>
      </c>
      <c r="K12" s="20">
        <f t="shared" si="0"/>
        <v>26.934999999999999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14+16</f>
        <v>30</v>
      </c>
      <c r="K13" s="20">
        <f t="shared" si="0"/>
        <v>25.934999999999999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18+24</f>
        <v>42</v>
      </c>
      <c r="K14" s="20">
        <f t="shared" si="0"/>
        <v>24.934999999999999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55</v>
      </c>
      <c r="I15" s="41">
        <v>6</v>
      </c>
      <c r="J15" s="19">
        <f>29+49</f>
        <v>78</v>
      </c>
      <c r="K15" s="20">
        <f t="shared" si="0"/>
        <v>23.934999999999999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55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21</v>
      </c>
      <c r="G17" s="51" t="s">
        <v>56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30</v>
      </c>
      <c r="G18" s="51" t="s">
        <v>87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42</v>
      </c>
      <c r="G19" s="51" t="s">
        <v>55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78</v>
      </c>
      <c r="G20" s="51" t="s">
        <v>52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29.934999999999999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23.934999999999999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6" sqref="E6:G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7.796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62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554374311</v>
      </c>
      <c r="D5" s="57">
        <v>6193204663</v>
      </c>
      <c r="E5" s="57">
        <v>33450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30062017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33.450000000000003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>
        <v>1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6+8</f>
        <v>14</v>
      </c>
      <c r="K10" s="20">
        <f>+$J$8-I10</f>
        <v>32.450000000000003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6+11</f>
        <v>17</v>
      </c>
      <c r="K11" s="20">
        <f t="shared" ref="K11:K17" si="0">+$J$8-I11</f>
        <v>31.450000000000003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10+13</f>
        <v>23</v>
      </c>
      <c r="K12" s="20">
        <f t="shared" si="0"/>
        <v>30.450000000000003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8+12</f>
        <v>20</v>
      </c>
      <c r="K13" s="20">
        <f t="shared" si="0"/>
        <v>29.450000000000003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13+18</f>
        <v>31</v>
      </c>
      <c r="K14" s="20">
        <f t="shared" si="0"/>
        <v>28.450000000000003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14</v>
      </c>
      <c r="G15" s="51" t="s">
        <v>45</v>
      </c>
      <c r="I15" s="41">
        <v>6</v>
      </c>
      <c r="J15" s="19">
        <f>13+22</f>
        <v>35</v>
      </c>
      <c r="K15" s="20">
        <f t="shared" si="0"/>
        <v>27.450000000000003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17</v>
      </c>
      <c r="G16" s="51" t="s">
        <v>47</v>
      </c>
      <c r="I16" s="41">
        <v>7</v>
      </c>
      <c r="J16" s="19">
        <f>16+28</f>
        <v>44</v>
      </c>
      <c r="K16" s="20">
        <f t="shared" si="0"/>
        <v>26.450000000000003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23</v>
      </c>
      <c r="G17" s="51" t="s">
        <v>43</v>
      </c>
      <c r="I17" s="41">
        <v>8</v>
      </c>
      <c r="J17" s="19">
        <f>26+29</f>
        <v>55</v>
      </c>
      <c r="K17" s="20">
        <f t="shared" si="0"/>
        <v>25.450000000000003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20</v>
      </c>
      <c r="G18" s="51" t="s">
        <v>51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31</v>
      </c>
      <c r="G19" s="51" t="s">
        <v>51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35</v>
      </c>
      <c r="G20" s="51" t="s">
        <v>55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44</v>
      </c>
      <c r="G21" s="51" t="s">
        <v>55</v>
      </c>
      <c r="I21" s="34"/>
      <c r="J21" s="14">
        <v>0</v>
      </c>
      <c r="K21" s="15"/>
      <c r="L21" s="21">
        <f>+J8</f>
        <v>33.450000000000003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55</v>
      </c>
      <c r="G22" s="51" t="s">
        <v>55</v>
      </c>
      <c r="I22" s="34"/>
      <c r="J22" s="10">
        <v>0</v>
      </c>
      <c r="K22" s="11"/>
      <c r="L22" s="22">
        <f>+K17</f>
        <v>25.450000000000003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63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554384422</v>
      </c>
      <c r="D5" s="57">
        <v>6193357489</v>
      </c>
      <c r="E5" s="57">
        <v>29252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29062017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29.251999999999999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7+9</f>
        <v>16</v>
      </c>
      <c r="K10" s="20">
        <f>+$J$8-I10</f>
        <v>28.251999999999999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8+12</f>
        <v>20</v>
      </c>
      <c r="K11" s="20">
        <f t="shared" ref="K11:K17" si="0">+$J$8-I11</f>
        <v>27.251999999999999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12+15</f>
        <v>27</v>
      </c>
      <c r="K12" s="20">
        <f t="shared" si="0"/>
        <v>26.251999999999999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12+16</f>
        <v>28</v>
      </c>
      <c r="K13" s="20">
        <f t="shared" si="0"/>
        <v>25.251999999999999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11+15</f>
        <v>26</v>
      </c>
      <c r="K14" s="20">
        <f t="shared" si="0"/>
        <v>24.251999999999999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16</v>
      </c>
      <c r="G15" s="51" t="s">
        <v>44</v>
      </c>
      <c r="I15" s="41">
        <v>6</v>
      </c>
      <c r="J15" s="19">
        <f>14+19</f>
        <v>33</v>
      </c>
      <c r="K15" s="20">
        <f t="shared" si="0"/>
        <v>23.251999999999999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20</v>
      </c>
      <c r="G16" s="51" t="s">
        <v>54</v>
      </c>
      <c r="I16" s="41">
        <v>7</v>
      </c>
      <c r="J16" s="19">
        <f>20+21</f>
        <v>41</v>
      </c>
      <c r="K16" s="20">
        <f t="shared" si="0"/>
        <v>22.251999999999999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27</v>
      </c>
      <c r="G17" s="51" t="s">
        <v>43</v>
      </c>
      <c r="I17" s="41">
        <v>8</v>
      </c>
      <c r="J17" s="19">
        <v>50</v>
      </c>
      <c r="K17" s="20">
        <f t="shared" si="0"/>
        <v>21.251999999999999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28</v>
      </c>
      <c r="G18" s="51" t="s">
        <v>94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26</v>
      </c>
      <c r="G19" s="51" t="s">
        <v>81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33</v>
      </c>
      <c r="G20" s="51" t="s">
        <v>85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41</v>
      </c>
      <c r="G21" s="51" t="s">
        <v>85</v>
      </c>
      <c r="I21" s="34"/>
      <c r="J21" s="14">
        <v>0</v>
      </c>
      <c r="K21" s="15"/>
      <c r="L21" s="21">
        <f>+J8</f>
        <v>29.251999999999999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50</v>
      </c>
      <c r="G22" s="51" t="s">
        <v>86</v>
      </c>
      <c r="I22" s="34"/>
      <c r="J22" s="10">
        <v>0</v>
      </c>
      <c r="K22" s="11"/>
      <c r="L22" s="22">
        <f>+K17</f>
        <v>21.251999999999999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64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554529542</v>
      </c>
      <c r="D5" s="57">
        <v>6194922233</v>
      </c>
      <c r="E5" s="57">
        <v>29678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30062017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29.678000000000001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6+8</f>
        <v>14</v>
      </c>
      <c r="K10" s="20">
        <f>+$J$8-I10</f>
        <v>28.678000000000001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9+11</f>
        <v>20</v>
      </c>
      <c r="K11" s="20">
        <f t="shared" ref="K11:K15" si="0">+$J$8-I11</f>
        <v>27.678000000000001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11+15</f>
        <v>26</v>
      </c>
      <c r="K12" s="20">
        <f t="shared" si="0"/>
        <v>26.678000000000001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10+15</f>
        <v>25</v>
      </c>
      <c r="K13" s="20">
        <f t="shared" si="0"/>
        <v>25.678000000000001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14+20</f>
        <v>34</v>
      </c>
      <c r="K14" s="20">
        <f t="shared" si="0"/>
        <v>24.678000000000001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14</v>
      </c>
      <c r="G15" s="51" t="s">
        <v>47</v>
      </c>
      <c r="I15" s="41">
        <v>6</v>
      </c>
      <c r="J15" s="19">
        <f>24+41</f>
        <v>65</v>
      </c>
      <c r="K15" s="20">
        <f t="shared" si="0"/>
        <v>23.678000000000001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20</v>
      </c>
      <c r="G16" s="51" t="s">
        <v>47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26</v>
      </c>
      <c r="G17" s="51" t="s">
        <v>44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25</v>
      </c>
      <c r="G18" s="51" t="s">
        <v>83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34</v>
      </c>
      <c r="G19" s="51" t="s">
        <v>84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65</v>
      </c>
      <c r="G20" s="51" t="s">
        <v>55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29.678000000000001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23.678000000000001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7" t="s">
        <v>19</v>
      </c>
      <c r="E2" s="108"/>
      <c r="F2" s="107" t="s">
        <v>3</v>
      </c>
      <c r="G2" s="108"/>
    </row>
    <row r="3" spans="2:13" ht="15.75" x14ac:dyDescent="0.25">
      <c r="B3" s="54"/>
      <c r="C3" s="28" t="s">
        <v>32</v>
      </c>
      <c r="D3" s="104" t="s">
        <v>75</v>
      </c>
      <c r="E3" s="106"/>
      <c r="F3" s="104" t="s">
        <v>65</v>
      </c>
      <c r="G3" s="10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1" t="s">
        <v>7</v>
      </c>
      <c r="G4" s="10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554751266</v>
      </c>
      <c r="D5" s="57">
        <v>6195413188</v>
      </c>
      <c r="E5" s="57">
        <v>28321</v>
      </c>
      <c r="F5" s="104" t="s">
        <v>20</v>
      </c>
      <c r="G5" s="10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1" t="s">
        <v>6</v>
      </c>
      <c r="F6" s="102"/>
      <c r="G6" s="10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30062017</v>
      </c>
      <c r="E7" s="104" t="s">
        <v>36</v>
      </c>
      <c r="F7" s="105"/>
      <c r="G7" s="10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1" t="s">
        <v>8</v>
      </c>
      <c r="E8" s="102"/>
      <c r="F8" s="102"/>
      <c r="G8" s="103"/>
      <c r="I8" s="39" t="s">
        <v>15</v>
      </c>
      <c r="J8" s="26">
        <f>+E5/1000</f>
        <v>28.321000000000002</v>
      </c>
      <c r="K8" s="8"/>
      <c r="L8" s="8"/>
      <c r="M8" s="38"/>
    </row>
    <row r="9" spans="2:13" ht="15.75" x14ac:dyDescent="0.25">
      <c r="B9" s="28" t="s">
        <v>9</v>
      </c>
      <c r="C9" s="33"/>
      <c r="D9" s="104" t="s">
        <v>39</v>
      </c>
      <c r="E9" s="105"/>
      <c r="F9" s="105"/>
      <c r="G9" s="10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3+5</f>
        <v>8</v>
      </c>
      <c r="K10" s="20">
        <f>+$J$8-I10</f>
        <v>27.321000000000002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5+6</f>
        <v>11</v>
      </c>
      <c r="K11" s="20">
        <f t="shared" ref="K11:K14" si="0">+$J$8-I11</f>
        <v>26.321000000000002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12+15</f>
        <v>27</v>
      </c>
      <c r="K12" s="20">
        <f t="shared" si="0"/>
        <v>25.321000000000002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12+16</f>
        <v>28</v>
      </c>
      <c r="K13" s="20">
        <f t="shared" si="0"/>
        <v>24.321000000000002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15+18</f>
        <v>33</v>
      </c>
      <c r="K14" s="20">
        <f t="shared" si="0"/>
        <v>23.321000000000002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47</v>
      </c>
      <c r="I15" s="41">
        <v>6</v>
      </c>
      <c r="J15" s="19">
        <f>20+22</f>
        <v>42</v>
      </c>
      <c r="K15" s="20">
        <f>+$J$8-I15</f>
        <v>22.321000000000002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11</v>
      </c>
      <c r="G16" s="51" t="s">
        <v>47</v>
      </c>
      <c r="I16" s="41">
        <v>7</v>
      </c>
      <c r="J16" s="19">
        <f>27+30</f>
        <v>57</v>
      </c>
      <c r="K16" s="20">
        <f>+$J$8-I16</f>
        <v>21.321000000000002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27</v>
      </c>
      <c r="G17" s="51" t="s">
        <v>44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28</v>
      </c>
      <c r="G18" s="51" t="s">
        <v>44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33</v>
      </c>
      <c r="G19" s="51" t="s">
        <v>44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42</v>
      </c>
      <c r="G20" s="51" t="s">
        <v>43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57</v>
      </c>
      <c r="G21" s="51" t="s">
        <v>43</v>
      </c>
      <c r="I21" s="34"/>
      <c r="J21" s="14">
        <v>0</v>
      </c>
      <c r="K21" s="15"/>
      <c r="L21" s="21">
        <f>+J8</f>
        <v>28.321000000000002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21.321000000000002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C_001</vt:lpstr>
      <vt:lpstr>C_002</vt:lpstr>
      <vt:lpstr>C_003</vt:lpstr>
      <vt:lpstr>C_21</vt:lpstr>
      <vt:lpstr>C_22</vt:lpstr>
      <vt:lpstr>C_23</vt:lpstr>
      <vt:lpstr>C_24 </vt:lpstr>
      <vt:lpstr>C_25</vt:lpstr>
      <vt:lpstr>C_26</vt:lpstr>
      <vt:lpstr>C_27</vt:lpstr>
      <vt:lpstr>C_28</vt:lpstr>
      <vt:lpstr>C_29</vt:lpstr>
      <vt:lpstr>C_31</vt:lpstr>
      <vt:lpstr>SL_14</vt:lpstr>
      <vt:lpstr>C_32</vt:lpstr>
      <vt:lpstr>C_33</vt:lpstr>
      <vt:lpstr>C_34</vt:lpstr>
      <vt:lpstr>C_35</vt:lpstr>
      <vt:lpstr>C_36</vt:lpstr>
      <vt:lpstr>C_001!Área_de_impresión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Víctor H. Umpiérrez</cp:lastModifiedBy>
  <cp:lastPrinted>2016-09-27T08:14:19Z</cp:lastPrinted>
  <dcterms:created xsi:type="dcterms:W3CDTF">2016-09-19T11:10:50Z</dcterms:created>
  <dcterms:modified xsi:type="dcterms:W3CDTF">2017-07-28T07:12:13Z</dcterms:modified>
</cp:coreProperties>
</file>