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45"/>
  </bookViews>
  <sheets>
    <sheet name="Evolución NFP" sheetId="2" r:id="rId1"/>
    <sheet name="Hoja1" sheetId="1" r:id="rId2"/>
  </sheets>
  <definedNames>
    <definedName name="_xlnm.Print_Area" localSheetId="0">'Evolución NFP'!$A$1:$W$71</definedName>
    <definedName name="_xlnm.Print_Titles" localSheetId="0">'Evolución NFP'!$1:$5</definedName>
  </definedNames>
  <calcPr calcId="152511" fullCalcOnLoad="1" iterateDelta="1E-4"/>
</workbook>
</file>

<file path=xl/calcChain.xml><?xml version="1.0" encoding="utf-8"?>
<calcChain xmlns="http://schemas.openxmlformats.org/spreadsheetml/2006/main">
  <c r="V69" i="2" l="1"/>
  <c r="U69" i="2"/>
  <c r="T69" i="2"/>
  <c r="S69" i="2"/>
  <c r="R69" i="2"/>
  <c r="Q69" i="2"/>
  <c r="O69" i="2"/>
  <c r="N69" i="2"/>
  <c r="M69" i="2"/>
  <c r="L69" i="2"/>
  <c r="K69" i="2"/>
  <c r="J69" i="2"/>
  <c r="I69" i="2"/>
  <c r="H69" i="2"/>
  <c r="G69" i="2"/>
  <c r="F69" i="2"/>
  <c r="E67" i="2"/>
  <c r="D67" i="2"/>
  <c r="D66" i="2"/>
  <c r="C66" i="2"/>
  <c r="E65" i="2"/>
  <c r="D65" i="2"/>
  <c r="D62" i="2"/>
  <c r="E61" i="2"/>
  <c r="C61" i="2"/>
  <c r="D59" i="2"/>
  <c r="E58" i="2"/>
  <c r="E57" i="2"/>
  <c r="D57" i="2"/>
  <c r="E55" i="2"/>
  <c r="D53" i="2"/>
  <c r="D50" i="2"/>
  <c r="P48" i="2"/>
  <c r="C48" i="2"/>
  <c r="P47" i="2"/>
  <c r="P46" i="2"/>
  <c r="E46" i="2"/>
  <c r="D46" i="2"/>
  <c r="P45" i="2"/>
  <c r="E45" i="2"/>
  <c r="D45" i="2"/>
  <c r="C45" i="2"/>
  <c r="P44" i="2"/>
  <c r="E44" i="2"/>
  <c r="D44" i="2"/>
  <c r="C44" i="2"/>
  <c r="P43" i="2"/>
  <c r="P42" i="2"/>
  <c r="P41" i="2"/>
  <c r="P40" i="2"/>
  <c r="E40" i="2"/>
  <c r="D40" i="2"/>
  <c r="C40" i="2"/>
  <c r="P39" i="2"/>
  <c r="E39" i="2"/>
  <c r="C39" i="2"/>
  <c r="P38" i="2"/>
  <c r="C38" i="2"/>
  <c r="E37" i="2"/>
  <c r="D37" i="2"/>
  <c r="C37" i="2"/>
  <c r="P36" i="2"/>
  <c r="P35" i="2"/>
  <c r="D35" i="2"/>
  <c r="P30" i="2"/>
  <c r="P29" i="2"/>
  <c r="E29" i="2"/>
  <c r="D29" i="2"/>
  <c r="C29" i="2"/>
  <c r="P28" i="2"/>
  <c r="E28" i="2"/>
  <c r="C28" i="2"/>
  <c r="D27" i="2"/>
  <c r="C27" i="2"/>
  <c r="P26" i="2"/>
  <c r="E26" i="2"/>
  <c r="D26" i="2"/>
  <c r="C26" i="2"/>
  <c r="P21" i="2"/>
  <c r="P19" i="2"/>
  <c r="D19" i="2"/>
  <c r="C19" i="2"/>
  <c r="P18" i="2"/>
  <c r="E18" i="2"/>
  <c r="D18" i="2"/>
  <c r="C18" i="2"/>
  <c r="P17" i="2"/>
  <c r="E17" i="2"/>
  <c r="D17" i="2"/>
  <c r="C17" i="2"/>
  <c r="P16" i="2"/>
  <c r="E16" i="2"/>
  <c r="D16" i="2"/>
  <c r="C16" i="2"/>
  <c r="P15" i="2"/>
  <c r="E15" i="2"/>
  <c r="D15" i="2"/>
  <c r="C15" i="2"/>
  <c r="P14" i="2"/>
  <c r="P69" i="2"/>
  <c r="E14" i="2"/>
  <c r="D14" i="2"/>
  <c r="C14" i="2"/>
  <c r="P13" i="2"/>
  <c r="E13" i="2"/>
  <c r="P12" i="2"/>
  <c r="P11" i="2"/>
  <c r="E11" i="2"/>
  <c r="D11" i="2"/>
  <c r="P10" i="2"/>
  <c r="E10" i="2"/>
  <c r="D10" i="2"/>
  <c r="C10" i="2"/>
  <c r="P9" i="2"/>
  <c r="E9" i="2"/>
  <c r="D9" i="2"/>
  <c r="D69" i="2"/>
  <c r="C9" i="2"/>
  <c r="P8" i="2"/>
  <c r="P7" i="2"/>
  <c r="E7" i="2"/>
  <c r="E69" i="2"/>
  <c r="D7" i="2"/>
  <c r="C7" i="2"/>
  <c r="C69" i="2"/>
  <c r="P6" i="2"/>
</calcChain>
</file>

<file path=xl/sharedStrings.xml><?xml version="1.0" encoding="utf-8"?>
<sst xmlns="http://schemas.openxmlformats.org/spreadsheetml/2006/main" count="121" uniqueCount="121">
  <si>
    <t>EVOLUCIÓN DEL TOTAL DE  VÍNCULOS DE NO FUNCIONARIOS PÚBLICOS POR INCISO (12/95 - 12/15)</t>
  </si>
  <si>
    <t>N°</t>
  </si>
  <si>
    <t>INCISO</t>
  </si>
  <si>
    <t>01</t>
  </si>
  <si>
    <t xml:space="preserve">Poder Legislativo </t>
  </si>
  <si>
    <t>02</t>
  </si>
  <si>
    <t>Presidencia de la República</t>
  </si>
  <si>
    <t>03</t>
  </si>
  <si>
    <t>Ministerio de Defensa Nacional</t>
  </si>
  <si>
    <t>04</t>
  </si>
  <si>
    <t>Ministerio del Interior</t>
  </si>
  <si>
    <t>05</t>
  </si>
  <si>
    <t>Ministerio de Economía y Finanzas</t>
  </si>
  <si>
    <t>06</t>
  </si>
  <si>
    <t>Ministerio de Relaciones Exteriores</t>
  </si>
  <si>
    <t>07</t>
  </si>
  <si>
    <t>Ministerio de Ganadería, Agricultura y Pesca</t>
  </si>
  <si>
    <t>08</t>
  </si>
  <si>
    <t>Ministerio de Industria, Energía y Minería</t>
  </si>
  <si>
    <t>09</t>
  </si>
  <si>
    <t>Ministerio de Turismo y Deporte</t>
  </si>
  <si>
    <t>10</t>
  </si>
  <si>
    <t>Ministerio de Transporte y Obras Públicas</t>
  </si>
  <si>
    <t>11</t>
  </si>
  <si>
    <t>Ministerio de Educación y Cultura</t>
  </si>
  <si>
    <t>12</t>
  </si>
  <si>
    <t>Ministerio de Salud Pública</t>
  </si>
  <si>
    <t>13</t>
  </si>
  <si>
    <t>Ministerio de Trabajo y Seguridad Social</t>
  </si>
  <si>
    <t>14</t>
  </si>
  <si>
    <t>Min. de Vivienda, Ord. Territorial y M. Ambiente</t>
  </si>
  <si>
    <t>-</t>
  </si>
  <si>
    <t>Ex Ministerio de Deporte y Juventud</t>
  </si>
  <si>
    <t>Ministerio de Desarrollo Social</t>
  </si>
  <si>
    <t>16</t>
  </si>
  <si>
    <t>Poder Judicial</t>
  </si>
  <si>
    <t>17</t>
  </si>
  <si>
    <t>Tribunal de Cuentas</t>
  </si>
  <si>
    <t>18</t>
  </si>
  <si>
    <t>Corte Electoral</t>
  </si>
  <si>
    <t>19</t>
  </si>
  <si>
    <t>Tribunal de lo Contencioso Administrativo</t>
  </si>
  <si>
    <t>25</t>
  </si>
  <si>
    <t>Administración Nal. de Educación Pública</t>
  </si>
  <si>
    <t>26</t>
  </si>
  <si>
    <t>Universidad de la República</t>
  </si>
  <si>
    <t>27</t>
  </si>
  <si>
    <t>Instituto del Niño y  Adolescente del Uruguay</t>
  </si>
  <si>
    <t>28</t>
  </si>
  <si>
    <t>Banco de Previsión Social</t>
  </si>
  <si>
    <t>Adm. Servicios de Salud del Estado</t>
  </si>
  <si>
    <t>Universidad Tecnológica</t>
  </si>
  <si>
    <t>Instituto Uruguayo de Meteorología</t>
  </si>
  <si>
    <t>Fiscalía General de la Nación</t>
  </si>
  <si>
    <t>Junta de Transparencia y Ética Pública</t>
  </si>
  <si>
    <t>Banco Central del Uruguay</t>
  </si>
  <si>
    <t>51</t>
  </si>
  <si>
    <t>Banco de la República Oriental del Uruguay</t>
  </si>
  <si>
    <t>52</t>
  </si>
  <si>
    <t>Banco Hipotecario del Uruguay</t>
  </si>
  <si>
    <t>53</t>
  </si>
  <si>
    <t>Banco de Seguros del Estado</t>
  </si>
  <si>
    <t>60</t>
  </si>
  <si>
    <t>Adm. Nal. de Combustibles Alcohol y Portland</t>
  </si>
  <si>
    <t>61</t>
  </si>
  <si>
    <t>Adm. Nal. de Usinas y Trasmisiones Eléctricas</t>
  </si>
  <si>
    <t>62</t>
  </si>
  <si>
    <t>Administración de Ferrocarriles del Estado</t>
  </si>
  <si>
    <t>63</t>
  </si>
  <si>
    <t>Primeras Líneas Uruguayas de Nav. Aérea</t>
  </si>
  <si>
    <t>64</t>
  </si>
  <si>
    <t>Administración Nacional de Puertos</t>
  </si>
  <si>
    <t>65</t>
  </si>
  <si>
    <t>Administración Nal. de Telecomunicaciones</t>
  </si>
  <si>
    <t>66</t>
  </si>
  <si>
    <t>Adm. de las Obras Sanitarias del Estado</t>
  </si>
  <si>
    <t>Adm. Nacional de Correos</t>
  </si>
  <si>
    <t>Agencia Nacional de Vivienda</t>
  </si>
  <si>
    <t>70</t>
  </si>
  <si>
    <t>Instituto Nacional de Colonización</t>
  </si>
  <si>
    <t>80</t>
  </si>
  <si>
    <t>Gobierno Departamental de Artigas</t>
  </si>
  <si>
    <t>81</t>
  </si>
  <si>
    <t>Gobierno Departamental de Canelones</t>
  </si>
  <si>
    <t>82</t>
  </si>
  <si>
    <t>Gobierno Departamental de Cerro Largo</t>
  </si>
  <si>
    <t>83</t>
  </si>
  <si>
    <t>Gobierno Departamental de Colonia</t>
  </si>
  <si>
    <t>84</t>
  </si>
  <si>
    <t>Gobierno Departamental de Durazno</t>
  </si>
  <si>
    <t>85</t>
  </si>
  <si>
    <t>Gobierno Departamental de Flores</t>
  </si>
  <si>
    <t>86</t>
  </si>
  <si>
    <t>Gobierno Departamental de Florida</t>
  </si>
  <si>
    <t>87</t>
  </si>
  <si>
    <t>Gobierno Departamental de Lavalleja</t>
  </si>
  <si>
    <t>88</t>
  </si>
  <si>
    <t>Gobierno Departamental de Maldonado</t>
  </si>
  <si>
    <t>89</t>
  </si>
  <si>
    <t xml:space="preserve">Gobierno Departamental de Paysandú </t>
  </si>
  <si>
    <t>90</t>
  </si>
  <si>
    <t>Gobierno Departamental de Río Negro</t>
  </si>
  <si>
    <t>91</t>
  </si>
  <si>
    <t>Gobierno Departamental de Rivera</t>
  </si>
  <si>
    <t>92</t>
  </si>
  <si>
    <t>Gobierno Departamental de Rocha</t>
  </si>
  <si>
    <t>93</t>
  </si>
  <si>
    <t>Gobierno Departamental de Salto</t>
  </si>
  <si>
    <t>94</t>
  </si>
  <si>
    <t>Gobierno Departamental de San José</t>
  </si>
  <si>
    <t>95</t>
  </si>
  <si>
    <t>Gobierno Departamental de Soriano</t>
  </si>
  <si>
    <t>96</t>
  </si>
  <si>
    <t>Gobierno Departamental de Tacuarembó</t>
  </si>
  <si>
    <t>97</t>
  </si>
  <si>
    <t>Gobierno Departamental de Treinta y Tres</t>
  </si>
  <si>
    <t>98</t>
  </si>
  <si>
    <t>Gobierno Departamental de Montevideo</t>
  </si>
  <si>
    <t>Congreso de Intendentes</t>
  </si>
  <si>
    <t>TOTAL</t>
  </si>
  <si>
    <r>
      <t xml:space="preserve">Nota: </t>
    </r>
    <r>
      <rPr>
        <sz val="9"/>
        <rFont val="Arial Narrow"/>
        <family val="2"/>
      </rPr>
      <t>Ver eventos que repercuten en las series.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</si>
</sst>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sz val="9"/>
      <name val="Courier New"/>
      <family val="3"/>
    </font>
    <font>
      <b/>
      <sz val="9"/>
      <name val="Courier New"/>
      <family val="3"/>
    </font>
    <font>
      <b/>
      <sz val="10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22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Fill="1" applyBorder="1" applyAlignment="1">
      <alignment wrapText="1"/>
    </xf>
    <xf numFmtId="0" fontId="1" fillId="0" borderId="0" xfId="1"/>
    <xf numFmtId="0" fontId="2" fillId="0" borderId="0" xfId="1" applyFont="1" applyFill="1" applyBorder="1" applyAlignment="1">
      <alignment horizontal="center" vertical="center"/>
    </xf>
    <xf numFmtId="1" fontId="6" fillId="2" borderId="2" xfId="1" applyNumberFormat="1" applyFont="1" applyFill="1" applyBorder="1" applyAlignment="1">
      <alignment horizontal="center" vertical="center"/>
    </xf>
    <xf numFmtId="1" fontId="6" fillId="2" borderId="2" xfId="1" applyNumberFormat="1" applyFont="1" applyFill="1" applyBorder="1" applyAlignment="1">
      <alignment horizontal="left" vertical="center"/>
    </xf>
    <xf numFmtId="3" fontId="7" fillId="2" borderId="3" xfId="1" applyNumberFormat="1" applyFont="1" applyFill="1" applyBorder="1" applyAlignment="1">
      <alignment horizontal="center" vertical="center"/>
    </xf>
    <xf numFmtId="3" fontId="7" fillId="2" borderId="4" xfId="1" applyNumberFormat="1" applyFont="1" applyFill="1" applyBorder="1" applyAlignment="1">
      <alignment horizontal="center" vertical="center"/>
    </xf>
    <xf numFmtId="3" fontId="7" fillId="2" borderId="5" xfId="1" applyNumberFormat="1" applyFont="1" applyFill="1" applyBorder="1" applyAlignment="1">
      <alignment horizontal="center" vertical="center"/>
    </xf>
    <xf numFmtId="3" fontId="7" fillId="2" borderId="17" xfId="1" applyNumberFormat="1" applyFont="1" applyFill="1" applyBorder="1" applyAlignment="1">
      <alignment horizontal="center" vertical="center"/>
    </xf>
    <xf numFmtId="1" fontId="6" fillId="0" borderId="2" xfId="1" applyNumberFormat="1" applyFont="1" applyBorder="1" applyAlignment="1">
      <alignment horizontal="center" vertical="center"/>
    </xf>
    <xf numFmtId="1" fontId="6" fillId="0" borderId="2" xfId="1" applyNumberFormat="1" applyFont="1" applyBorder="1" applyAlignment="1">
      <alignment horizontal="left" vertical="center"/>
    </xf>
    <xf numFmtId="3" fontId="7" fillId="0" borderId="6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18" xfId="1" applyNumberFormat="1" applyFont="1" applyBorder="1" applyAlignment="1">
      <alignment horizontal="center"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2" borderId="7" xfId="1" applyNumberFormat="1" applyFont="1" applyFill="1" applyBorder="1" applyAlignment="1">
      <alignment horizontal="center" vertical="center"/>
    </xf>
    <xf numFmtId="3" fontId="7" fillId="2" borderId="18" xfId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3" fontId="7" fillId="2" borderId="8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3" fontId="7" fillId="2" borderId="10" xfId="1" applyNumberFormat="1" applyFont="1" applyFill="1" applyBorder="1" applyAlignment="1">
      <alignment horizontal="center" vertical="center"/>
    </xf>
    <xf numFmtId="3" fontId="7" fillId="2" borderId="19" xfId="1" applyNumberFormat="1" applyFont="1" applyFill="1" applyBorder="1" applyAlignment="1">
      <alignment horizontal="center" vertical="center"/>
    </xf>
    <xf numFmtId="1" fontId="6" fillId="0" borderId="11" xfId="1" applyNumberFormat="1" applyFont="1" applyBorder="1" applyAlignment="1">
      <alignment horizontal="center" vertical="center"/>
    </xf>
    <xf numFmtId="1" fontId="6" fillId="0" borderId="11" xfId="1" applyNumberFormat="1" applyFont="1" applyBorder="1" applyAlignment="1">
      <alignment horizontal="left" vertical="center"/>
    </xf>
    <xf numFmtId="3" fontId="7" fillId="0" borderId="12" xfId="1" applyNumberFormat="1" applyFont="1" applyBorder="1" applyAlignment="1">
      <alignment horizontal="center" vertical="center"/>
    </xf>
    <xf numFmtId="3" fontId="7" fillId="0" borderId="13" xfId="1" applyNumberFormat="1" applyFont="1" applyBorder="1" applyAlignment="1">
      <alignment horizontal="center" vertical="center"/>
    </xf>
    <xf numFmtId="3" fontId="7" fillId="0" borderId="13" xfId="1" applyNumberFormat="1" applyFont="1" applyFill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3" fontId="7" fillId="0" borderId="20" xfId="1" applyNumberFormat="1" applyFont="1" applyBorder="1" applyAlignment="1">
      <alignment horizontal="center" vertical="center"/>
    </xf>
    <xf numFmtId="0" fontId="1" fillId="0" borderId="0" xfId="1" applyFill="1"/>
    <xf numFmtId="3" fontId="8" fillId="3" borderId="2" xfId="1" applyNumberFormat="1" applyFont="1" applyFill="1" applyBorder="1" applyAlignment="1">
      <alignment horizontal="center" vertical="center"/>
    </xf>
    <xf numFmtId="3" fontId="8" fillId="3" borderId="15" xfId="1" applyNumberFormat="1" applyFont="1" applyFill="1" applyBorder="1" applyAlignment="1">
      <alignment horizontal="center" vertical="center"/>
    </xf>
    <xf numFmtId="3" fontId="8" fillId="3" borderId="21" xfId="1" applyNumberFormat="1" applyFont="1" applyFill="1" applyBorder="1" applyAlignment="1">
      <alignment horizontal="center" vertical="center"/>
    </xf>
    <xf numFmtId="0" fontId="9" fillId="0" borderId="0" xfId="1" applyFont="1"/>
    <xf numFmtId="0" fontId="1" fillId="0" borderId="0" xfId="1" applyBorder="1" applyAlignment="1"/>
    <xf numFmtId="0" fontId="1" fillId="0" borderId="0" xfId="1" applyBorder="1"/>
    <xf numFmtId="0" fontId="10" fillId="0" borderId="0" xfId="1" applyFont="1" applyBorder="1" applyAlignment="1"/>
    <xf numFmtId="3" fontId="1" fillId="0" borderId="0" xfId="1" applyNumberFormat="1" applyBorder="1" applyAlignment="1"/>
    <xf numFmtId="0" fontId="11" fillId="0" borderId="0" xfId="1" applyFont="1" applyBorder="1" applyAlignment="1"/>
    <xf numFmtId="3" fontId="1" fillId="0" borderId="0" xfId="1" applyNumberFormat="1" applyAlignment="1"/>
    <xf numFmtId="0" fontId="1" fillId="0" borderId="0" xfId="1" applyAlignment="1"/>
    <xf numFmtId="14" fontId="5" fillId="0" borderId="23" xfId="1" applyNumberFormat="1" applyFont="1" applyBorder="1" applyAlignment="1">
      <alignment horizontal="center" vertical="center"/>
    </xf>
    <xf numFmtId="14" fontId="5" fillId="0" borderId="21" xfId="1" applyNumberFormat="1" applyFont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2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2" fillId="0" borderId="0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4" fontId="5" fillId="0" borderId="22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74"/>
  <sheetViews>
    <sheetView tabSelected="1" view="pageBreakPreview" zoomScale="80" zoomScaleNormal="80" zoomScaleSheetLayoutView="80" workbookViewId="0">
      <selection activeCell="B9" sqref="B9"/>
    </sheetView>
  </sheetViews>
  <sheetFormatPr baseColWidth="10" defaultColWidth="2.42578125" defaultRowHeight="12.75" x14ac:dyDescent="0.2"/>
  <cols>
    <col min="1" max="1" width="3.140625" style="37" customWidth="1"/>
    <col min="2" max="2" width="39.5703125" style="37" bestFit="1" customWidth="1"/>
    <col min="3" max="5" width="8.42578125" style="43" customWidth="1"/>
    <col min="6" max="7" width="8.42578125" style="2" customWidth="1"/>
    <col min="8" max="8" width="8.7109375" style="2" customWidth="1"/>
    <col min="9" max="9" width="8.42578125" style="2" customWidth="1"/>
    <col min="10" max="18" width="8.7109375" style="2" customWidth="1"/>
    <col min="19" max="23" width="8.85546875" style="2" customWidth="1"/>
    <col min="24" max="255" width="11.42578125" style="2" customWidth="1"/>
    <col min="256" max="16384" width="2.42578125" style="2"/>
  </cols>
  <sheetData>
    <row r="1" spans="1:23" ht="18" customHeight="1" x14ac:dyDescent="0.25">
      <c r="A1" s="48"/>
      <c r="B1" s="4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6.5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1"/>
      <c r="U2" s="1"/>
      <c r="V2" s="1"/>
    </row>
    <row r="3" spans="1:2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  <c r="V3" s="1"/>
    </row>
    <row r="4" spans="1:23" ht="12.75" customHeight="1" x14ac:dyDescent="0.2">
      <c r="A4" s="51" t="s">
        <v>1</v>
      </c>
      <c r="B4" s="51" t="s">
        <v>2</v>
      </c>
      <c r="C4" s="52">
        <v>35064</v>
      </c>
      <c r="D4" s="44">
        <v>35430</v>
      </c>
      <c r="E4" s="44">
        <v>35795</v>
      </c>
      <c r="F4" s="44">
        <v>36160</v>
      </c>
      <c r="G4" s="44">
        <v>36494</v>
      </c>
      <c r="H4" s="44">
        <v>36891</v>
      </c>
      <c r="I4" s="44">
        <v>37256</v>
      </c>
      <c r="J4" s="44">
        <v>37621</v>
      </c>
      <c r="K4" s="44">
        <v>37986</v>
      </c>
      <c r="L4" s="44">
        <v>38352</v>
      </c>
      <c r="M4" s="44">
        <v>38717</v>
      </c>
      <c r="N4" s="44">
        <v>39082</v>
      </c>
      <c r="O4" s="44">
        <v>39447</v>
      </c>
      <c r="P4" s="44">
        <v>39813</v>
      </c>
      <c r="Q4" s="44">
        <v>40178</v>
      </c>
      <c r="R4" s="44">
        <v>40543</v>
      </c>
      <c r="S4" s="44">
        <v>40908</v>
      </c>
      <c r="T4" s="44">
        <v>41274</v>
      </c>
      <c r="U4" s="44">
        <v>41639</v>
      </c>
      <c r="V4" s="44">
        <v>42004</v>
      </c>
      <c r="W4" s="45">
        <v>42369</v>
      </c>
    </row>
    <row r="5" spans="1:23" ht="13.5" customHeight="1" x14ac:dyDescent="0.2">
      <c r="A5" s="51"/>
      <c r="B5" s="51"/>
      <c r="C5" s="52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</row>
    <row r="6" spans="1:23" ht="13.5" x14ac:dyDescent="0.2">
      <c r="A6" s="4" t="s">
        <v>3</v>
      </c>
      <c r="B6" s="5" t="s">
        <v>4</v>
      </c>
      <c r="C6" s="6">
        <v>0</v>
      </c>
      <c r="D6" s="7">
        <v>0</v>
      </c>
      <c r="E6" s="7">
        <v>0</v>
      </c>
      <c r="F6" s="7">
        <v>1</v>
      </c>
      <c r="G6" s="7">
        <v>0</v>
      </c>
      <c r="H6" s="7">
        <v>1</v>
      </c>
      <c r="I6" s="7">
        <v>2</v>
      </c>
      <c r="J6" s="7">
        <v>0</v>
      </c>
      <c r="K6" s="7">
        <v>1</v>
      </c>
      <c r="L6" s="7">
        <v>0</v>
      </c>
      <c r="M6" s="7">
        <v>0</v>
      </c>
      <c r="N6" s="7">
        <v>16</v>
      </c>
      <c r="O6" s="7">
        <v>3</v>
      </c>
      <c r="P6" s="7">
        <f>11+11</f>
        <v>22</v>
      </c>
      <c r="Q6" s="7">
        <v>20</v>
      </c>
      <c r="R6" s="7">
        <v>24</v>
      </c>
      <c r="S6" s="7">
        <v>1</v>
      </c>
      <c r="T6" s="7">
        <v>6</v>
      </c>
      <c r="U6" s="8">
        <v>11</v>
      </c>
      <c r="V6" s="8">
        <v>7</v>
      </c>
      <c r="W6" s="9">
        <v>9</v>
      </c>
    </row>
    <row r="7" spans="1:23" ht="13.5" x14ac:dyDescent="0.2">
      <c r="A7" s="10" t="s">
        <v>5</v>
      </c>
      <c r="B7" s="11" t="s">
        <v>6</v>
      </c>
      <c r="C7" s="12">
        <f>149+14+8</f>
        <v>171</v>
      </c>
      <c r="D7" s="13">
        <f>6+125+127</f>
        <v>258</v>
      </c>
      <c r="E7" s="13">
        <f>9+38+239</f>
        <v>286</v>
      </c>
      <c r="F7" s="13">
        <v>341</v>
      </c>
      <c r="G7" s="13">
        <v>300</v>
      </c>
      <c r="H7" s="13">
        <v>216</v>
      </c>
      <c r="I7" s="13">
        <v>189</v>
      </c>
      <c r="J7" s="13">
        <v>251</v>
      </c>
      <c r="K7" s="13">
        <v>386</v>
      </c>
      <c r="L7" s="13">
        <v>414</v>
      </c>
      <c r="M7" s="13">
        <v>443</v>
      </c>
      <c r="N7" s="13">
        <v>706</v>
      </c>
      <c r="O7" s="13">
        <v>592</v>
      </c>
      <c r="P7" s="13">
        <f>35+24+622+62</f>
        <v>743</v>
      </c>
      <c r="Q7" s="13">
        <v>669</v>
      </c>
      <c r="R7" s="13">
        <v>796</v>
      </c>
      <c r="S7" s="13">
        <v>638</v>
      </c>
      <c r="T7" s="13">
        <v>881</v>
      </c>
      <c r="U7" s="14">
        <v>1132</v>
      </c>
      <c r="V7" s="14">
        <v>687</v>
      </c>
      <c r="W7" s="15">
        <v>641</v>
      </c>
    </row>
    <row r="8" spans="1:23" ht="13.5" x14ac:dyDescent="0.2">
      <c r="A8" s="4" t="s">
        <v>7</v>
      </c>
      <c r="B8" s="5" t="s">
        <v>8</v>
      </c>
      <c r="C8" s="16">
        <v>0</v>
      </c>
      <c r="D8" s="17">
        <v>0</v>
      </c>
      <c r="E8" s="17">
        <v>0</v>
      </c>
      <c r="F8" s="17">
        <v>0</v>
      </c>
      <c r="G8" s="17">
        <v>0</v>
      </c>
      <c r="H8" s="17">
        <v>1</v>
      </c>
      <c r="I8" s="17">
        <v>3</v>
      </c>
      <c r="J8" s="17">
        <v>0</v>
      </c>
      <c r="K8" s="17">
        <v>157</v>
      </c>
      <c r="L8" s="17">
        <v>122</v>
      </c>
      <c r="M8" s="17">
        <v>131</v>
      </c>
      <c r="N8" s="17">
        <v>226</v>
      </c>
      <c r="O8" s="17">
        <v>263</v>
      </c>
      <c r="P8" s="17">
        <f>206+78</f>
        <v>284</v>
      </c>
      <c r="Q8" s="17">
        <v>404</v>
      </c>
      <c r="R8" s="17">
        <v>187</v>
      </c>
      <c r="S8" s="17">
        <v>365</v>
      </c>
      <c r="T8" s="17">
        <v>382</v>
      </c>
      <c r="U8" s="18">
        <v>487</v>
      </c>
      <c r="V8" s="18">
        <v>284</v>
      </c>
      <c r="W8" s="19">
        <v>240</v>
      </c>
    </row>
    <row r="9" spans="1:23" ht="13.5" x14ac:dyDescent="0.2">
      <c r="A9" s="10" t="s">
        <v>9</v>
      </c>
      <c r="B9" s="11" t="s">
        <v>10</v>
      </c>
      <c r="C9" s="12">
        <f>13+381</f>
        <v>394</v>
      </c>
      <c r="D9" s="13">
        <f>34+434</f>
        <v>468</v>
      </c>
      <c r="E9" s="13">
        <f>24+47+570</f>
        <v>641</v>
      </c>
      <c r="F9" s="13">
        <v>609</v>
      </c>
      <c r="G9" s="13">
        <v>834</v>
      </c>
      <c r="H9" s="13">
        <v>1135</v>
      </c>
      <c r="I9" s="13">
        <v>890</v>
      </c>
      <c r="J9" s="13">
        <v>450</v>
      </c>
      <c r="K9" s="13">
        <v>426</v>
      </c>
      <c r="L9" s="13">
        <v>469</v>
      </c>
      <c r="M9" s="13">
        <v>422</v>
      </c>
      <c r="N9" s="13">
        <v>427</v>
      </c>
      <c r="O9" s="13">
        <v>435</v>
      </c>
      <c r="P9" s="13">
        <f>33+466</f>
        <v>499</v>
      </c>
      <c r="Q9" s="13">
        <v>629</v>
      </c>
      <c r="R9" s="13">
        <v>1028</v>
      </c>
      <c r="S9" s="13">
        <v>652</v>
      </c>
      <c r="T9" s="13">
        <v>1348</v>
      </c>
      <c r="U9" s="14">
        <v>799</v>
      </c>
      <c r="V9" s="14">
        <v>601</v>
      </c>
      <c r="W9" s="15">
        <v>942</v>
      </c>
    </row>
    <row r="10" spans="1:23" ht="13.5" x14ac:dyDescent="0.2">
      <c r="A10" s="4" t="s">
        <v>11</v>
      </c>
      <c r="B10" s="5" t="s">
        <v>12</v>
      </c>
      <c r="C10" s="16">
        <f>176+6+18</f>
        <v>200</v>
      </c>
      <c r="D10" s="17">
        <f>148+3+19</f>
        <v>170</v>
      </c>
      <c r="E10" s="17">
        <f>155+12+6</f>
        <v>173</v>
      </c>
      <c r="F10" s="17">
        <v>223</v>
      </c>
      <c r="G10" s="17">
        <v>221</v>
      </c>
      <c r="H10" s="17">
        <v>274</v>
      </c>
      <c r="I10" s="17">
        <v>275</v>
      </c>
      <c r="J10" s="17">
        <v>366</v>
      </c>
      <c r="K10" s="17">
        <v>141</v>
      </c>
      <c r="L10" s="17">
        <v>231</v>
      </c>
      <c r="M10" s="17">
        <v>245</v>
      </c>
      <c r="N10" s="17">
        <v>309</v>
      </c>
      <c r="O10" s="17">
        <v>451</v>
      </c>
      <c r="P10" s="17">
        <f>118+92+1+84+369</f>
        <v>664</v>
      </c>
      <c r="Q10" s="17">
        <v>422</v>
      </c>
      <c r="R10" s="17">
        <v>613</v>
      </c>
      <c r="S10" s="17">
        <v>782</v>
      </c>
      <c r="T10" s="17">
        <v>757</v>
      </c>
      <c r="U10" s="18">
        <v>797</v>
      </c>
      <c r="V10" s="18">
        <v>334</v>
      </c>
      <c r="W10" s="19">
        <v>269</v>
      </c>
    </row>
    <row r="11" spans="1:23" ht="13.5" x14ac:dyDescent="0.2">
      <c r="A11" s="10" t="s">
        <v>13</v>
      </c>
      <c r="B11" s="11" t="s">
        <v>14</v>
      </c>
      <c r="C11" s="12">
        <v>4</v>
      </c>
      <c r="D11" s="13">
        <f>31+3+57</f>
        <v>91</v>
      </c>
      <c r="E11" s="13">
        <f>19+4</f>
        <v>23</v>
      </c>
      <c r="F11" s="13">
        <v>55</v>
      </c>
      <c r="G11" s="13">
        <v>52</v>
      </c>
      <c r="H11" s="13">
        <v>51</v>
      </c>
      <c r="I11" s="13">
        <v>36</v>
      </c>
      <c r="J11" s="13">
        <v>35</v>
      </c>
      <c r="K11" s="13">
        <v>26</v>
      </c>
      <c r="L11" s="13">
        <v>30</v>
      </c>
      <c r="M11" s="13">
        <v>23</v>
      </c>
      <c r="N11" s="13">
        <v>12</v>
      </c>
      <c r="O11" s="13">
        <v>3</v>
      </c>
      <c r="P11" s="13">
        <f>8+32+3</f>
        <v>43</v>
      </c>
      <c r="Q11" s="13">
        <v>28</v>
      </c>
      <c r="R11" s="13">
        <v>34</v>
      </c>
      <c r="S11" s="13">
        <v>17</v>
      </c>
      <c r="T11" s="13">
        <v>19</v>
      </c>
      <c r="U11" s="14">
        <v>20</v>
      </c>
      <c r="V11" s="14">
        <v>24</v>
      </c>
      <c r="W11" s="15">
        <v>21</v>
      </c>
    </row>
    <row r="12" spans="1:23" ht="13.5" x14ac:dyDescent="0.2">
      <c r="A12" s="4" t="s">
        <v>15</v>
      </c>
      <c r="B12" s="5" t="s">
        <v>16</v>
      </c>
      <c r="C12" s="16">
        <v>41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216</v>
      </c>
      <c r="M12" s="17">
        <v>108</v>
      </c>
      <c r="N12" s="17">
        <v>14</v>
      </c>
      <c r="O12" s="17">
        <v>35</v>
      </c>
      <c r="P12" s="17">
        <f>16+4+2+8</f>
        <v>30</v>
      </c>
      <c r="Q12" s="17">
        <v>165</v>
      </c>
      <c r="R12" s="17">
        <v>31</v>
      </c>
      <c r="S12" s="17">
        <v>157</v>
      </c>
      <c r="T12" s="17">
        <v>217</v>
      </c>
      <c r="U12" s="18">
        <v>293</v>
      </c>
      <c r="V12" s="18">
        <v>220</v>
      </c>
      <c r="W12" s="19">
        <v>229</v>
      </c>
    </row>
    <row r="13" spans="1:23" ht="13.5" x14ac:dyDescent="0.2">
      <c r="A13" s="10" t="s">
        <v>17</v>
      </c>
      <c r="B13" s="11" t="s">
        <v>18</v>
      </c>
      <c r="C13" s="12">
        <v>48</v>
      </c>
      <c r="D13" s="13">
        <v>46</v>
      </c>
      <c r="E13" s="13">
        <f>67+5</f>
        <v>72</v>
      </c>
      <c r="F13" s="13">
        <v>88</v>
      </c>
      <c r="G13" s="13">
        <v>89</v>
      </c>
      <c r="H13" s="13">
        <v>87</v>
      </c>
      <c r="I13" s="13">
        <v>69</v>
      </c>
      <c r="J13" s="13">
        <v>31</v>
      </c>
      <c r="K13" s="13">
        <v>39</v>
      </c>
      <c r="L13" s="20">
        <v>40</v>
      </c>
      <c r="M13" s="20">
        <v>38</v>
      </c>
      <c r="N13" s="13">
        <v>32</v>
      </c>
      <c r="O13" s="13">
        <v>55</v>
      </c>
      <c r="P13" s="13">
        <f>25+28+36</f>
        <v>89</v>
      </c>
      <c r="Q13" s="13">
        <v>105</v>
      </c>
      <c r="R13" s="13">
        <v>108</v>
      </c>
      <c r="S13" s="13">
        <v>105</v>
      </c>
      <c r="T13" s="13">
        <v>194</v>
      </c>
      <c r="U13" s="14">
        <v>144</v>
      </c>
      <c r="V13" s="14">
        <v>16</v>
      </c>
      <c r="W13" s="15">
        <v>7</v>
      </c>
    </row>
    <row r="14" spans="1:23" ht="13.5" x14ac:dyDescent="0.2">
      <c r="A14" s="4" t="s">
        <v>19</v>
      </c>
      <c r="B14" s="5" t="s">
        <v>20</v>
      </c>
      <c r="C14" s="16">
        <f>51+3+2</f>
        <v>56</v>
      </c>
      <c r="D14" s="17">
        <f>49+7+15</f>
        <v>71</v>
      </c>
      <c r="E14" s="17">
        <f>48+6</f>
        <v>54</v>
      </c>
      <c r="F14" s="17">
        <v>62</v>
      </c>
      <c r="G14" s="17">
        <v>78</v>
      </c>
      <c r="H14" s="17">
        <v>98</v>
      </c>
      <c r="I14" s="17">
        <v>59</v>
      </c>
      <c r="J14" s="17">
        <v>67</v>
      </c>
      <c r="K14" s="17">
        <v>65</v>
      </c>
      <c r="L14" s="17">
        <v>32</v>
      </c>
      <c r="M14" s="17">
        <v>869</v>
      </c>
      <c r="N14" s="17">
        <v>36</v>
      </c>
      <c r="O14" s="17">
        <v>38</v>
      </c>
      <c r="P14" s="17">
        <f>42+5+15</f>
        <v>62</v>
      </c>
      <c r="Q14" s="17">
        <v>60</v>
      </c>
      <c r="R14" s="17">
        <v>75</v>
      </c>
      <c r="S14" s="17">
        <v>71</v>
      </c>
      <c r="T14" s="17">
        <v>78</v>
      </c>
      <c r="U14" s="18">
        <v>62</v>
      </c>
      <c r="V14" s="18">
        <v>25</v>
      </c>
      <c r="W14" s="19">
        <v>27</v>
      </c>
    </row>
    <row r="15" spans="1:23" ht="13.5" x14ac:dyDescent="0.2">
      <c r="A15" s="10" t="s">
        <v>21</v>
      </c>
      <c r="B15" s="11" t="s">
        <v>22</v>
      </c>
      <c r="C15" s="12">
        <f>3+5</f>
        <v>8</v>
      </c>
      <c r="D15" s="13">
        <f>20+4+95</f>
        <v>119</v>
      </c>
      <c r="E15" s="13">
        <f>4+88</f>
        <v>92</v>
      </c>
      <c r="F15" s="13">
        <v>91</v>
      </c>
      <c r="G15" s="13">
        <v>93</v>
      </c>
      <c r="H15" s="13">
        <v>87</v>
      </c>
      <c r="I15" s="13">
        <v>90</v>
      </c>
      <c r="J15" s="13">
        <v>86</v>
      </c>
      <c r="K15" s="13">
        <v>83</v>
      </c>
      <c r="L15" s="20">
        <v>66</v>
      </c>
      <c r="M15" s="20">
        <v>66</v>
      </c>
      <c r="N15" s="13">
        <v>108</v>
      </c>
      <c r="O15" s="13">
        <v>122</v>
      </c>
      <c r="P15" s="13">
        <f>133+60</f>
        <v>193</v>
      </c>
      <c r="Q15" s="13">
        <v>214</v>
      </c>
      <c r="R15" s="13">
        <v>197</v>
      </c>
      <c r="S15" s="13">
        <v>466</v>
      </c>
      <c r="T15" s="13">
        <v>456</v>
      </c>
      <c r="U15" s="14">
        <v>436</v>
      </c>
      <c r="V15" s="14">
        <v>19</v>
      </c>
      <c r="W15" s="15">
        <v>13</v>
      </c>
    </row>
    <row r="16" spans="1:23" ht="13.5" x14ac:dyDescent="0.2">
      <c r="A16" s="4" t="s">
        <v>23</v>
      </c>
      <c r="B16" s="5" t="s">
        <v>24</v>
      </c>
      <c r="C16" s="16">
        <f>1047+83+414</f>
        <v>1544</v>
      </c>
      <c r="D16" s="17">
        <f>409+24+9+469</f>
        <v>911</v>
      </c>
      <c r="E16" s="17">
        <f>585+16+9+601</f>
        <v>1211</v>
      </c>
      <c r="F16" s="17">
        <v>1410</v>
      </c>
      <c r="G16" s="17">
        <v>1182</v>
      </c>
      <c r="H16" s="17">
        <v>843</v>
      </c>
      <c r="I16" s="17">
        <v>875</v>
      </c>
      <c r="J16" s="17">
        <v>846</v>
      </c>
      <c r="K16" s="17">
        <v>784</v>
      </c>
      <c r="L16" s="17">
        <v>791</v>
      </c>
      <c r="M16" s="17">
        <v>750</v>
      </c>
      <c r="N16" s="17">
        <v>582</v>
      </c>
      <c r="O16" s="17">
        <v>757</v>
      </c>
      <c r="P16" s="17">
        <f>47+56+425+2+5</f>
        <v>535</v>
      </c>
      <c r="Q16" s="17">
        <v>823</v>
      </c>
      <c r="R16" s="17">
        <v>1237</v>
      </c>
      <c r="S16" s="17">
        <v>1227</v>
      </c>
      <c r="T16" s="17">
        <v>1445</v>
      </c>
      <c r="U16" s="18">
        <v>1653</v>
      </c>
      <c r="V16" s="18">
        <v>1732</v>
      </c>
      <c r="W16" s="19">
        <v>1460</v>
      </c>
    </row>
    <row r="17" spans="1:23" ht="13.5" x14ac:dyDescent="0.2">
      <c r="A17" s="10" t="s">
        <v>25</v>
      </c>
      <c r="B17" s="11" t="s">
        <v>26</v>
      </c>
      <c r="C17" s="12">
        <f>55+46+380</f>
        <v>481</v>
      </c>
      <c r="D17" s="13">
        <f>69+184+969</f>
        <v>1222</v>
      </c>
      <c r="E17" s="13">
        <f>87+21+977</f>
        <v>1085</v>
      </c>
      <c r="F17" s="13">
        <v>1078</v>
      </c>
      <c r="G17" s="13">
        <v>1091</v>
      </c>
      <c r="H17" s="13">
        <v>1209</v>
      </c>
      <c r="I17" s="13">
        <v>1198</v>
      </c>
      <c r="J17" s="13">
        <v>2338</v>
      </c>
      <c r="K17" s="13">
        <v>2939</v>
      </c>
      <c r="L17" s="13">
        <v>3657</v>
      </c>
      <c r="M17" s="13">
        <v>4504</v>
      </c>
      <c r="N17" s="13">
        <v>2873</v>
      </c>
      <c r="O17" s="13">
        <v>48</v>
      </c>
      <c r="P17" s="13">
        <f>45</f>
        <v>45</v>
      </c>
      <c r="Q17" s="13">
        <v>6</v>
      </c>
      <c r="R17" s="13">
        <v>43</v>
      </c>
      <c r="S17" s="13">
        <v>30</v>
      </c>
      <c r="T17" s="13">
        <v>67</v>
      </c>
      <c r="U17" s="14">
        <v>83</v>
      </c>
      <c r="V17" s="14">
        <v>96</v>
      </c>
      <c r="W17" s="15">
        <v>61</v>
      </c>
    </row>
    <row r="18" spans="1:23" ht="13.5" x14ac:dyDescent="0.2">
      <c r="A18" s="4" t="s">
        <v>27</v>
      </c>
      <c r="B18" s="5" t="s">
        <v>28</v>
      </c>
      <c r="C18" s="16">
        <f>4+52+20</f>
        <v>76</v>
      </c>
      <c r="D18" s="17">
        <f>7+96+38</f>
        <v>141</v>
      </c>
      <c r="E18" s="17">
        <f>3+78+2</f>
        <v>83</v>
      </c>
      <c r="F18" s="17">
        <v>140</v>
      </c>
      <c r="G18" s="17">
        <v>105</v>
      </c>
      <c r="H18" s="17">
        <v>177</v>
      </c>
      <c r="I18" s="17">
        <v>164</v>
      </c>
      <c r="J18" s="17">
        <v>210</v>
      </c>
      <c r="K18" s="17">
        <v>185</v>
      </c>
      <c r="L18" s="17">
        <v>173</v>
      </c>
      <c r="M18" s="17">
        <v>183</v>
      </c>
      <c r="N18" s="17">
        <v>58</v>
      </c>
      <c r="O18" s="17">
        <v>82</v>
      </c>
      <c r="P18" s="17">
        <f>61+22+16+17</f>
        <v>116</v>
      </c>
      <c r="Q18" s="17">
        <v>138</v>
      </c>
      <c r="R18" s="17">
        <v>142</v>
      </c>
      <c r="S18" s="17">
        <v>131</v>
      </c>
      <c r="T18" s="17">
        <v>166</v>
      </c>
      <c r="U18" s="18">
        <v>167</v>
      </c>
      <c r="V18" s="18">
        <v>15</v>
      </c>
      <c r="W18" s="19">
        <v>12</v>
      </c>
    </row>
    <row r="19" spans="1:23" ht="13.5" x14ac:dyDescent="0.2">
      <c r="A19" s="10" t="s">
        <v>29</v>
      </c>
      <c r="B19" s="11" t="s">
        <v>30</v>
      </c>
      <c r="C19" s="12">
        <f>24+100</f>
        <v>124</v>
      </c>
      <c r="D19" s="13">
        <f>26+39</f>
        <v>65</v>
      </c>
      <c r="E19" s="13">
        <v>39</v>
      </c>
      <c r="F19" s="13">
        <v>53</v>
      </c>
      <c r="G19" s="13">
        <v>71</v>
      </c>
      <c r="H19" s="13">
        <v>65</v>
      </c>
      <c r="I19" s="13">
        <v>64</v>
      </c>
      <c r="J19" s="13">
        <v>71</v>
      </c>
      <c r="K19" s="13">
        <v>61</v>
      </c>
      <c r="L19" s="13">
        <v>84</v>
      </c>
      <c r="M19" s="13">
        <v>76</v>
      </c>
      <c r="N19" s="13">
        <v>23</v>
      </c>
      <c r="O19" s="13">
        <v>43</v>
      </c>
      <c r="P19" s="13">
        <f>39+20</f>
        <v>59</v>
      </c>
      <c r="Q19" s="13">
        <v>31</v>
      </c>
      <c r="R19" s="13">
        <v>55</v>
      </c>
      <c r="S19" s="13">
        <v>83</v>
      </c>
      <c r="T19" s="13">
        <v>152</v>
      </c>
      <c r="U19" s="14">
        <v>294</v>
      </c>
      <c r="V19" s="14">
        <v>346</v>
      </c>
      <c r="W19" s="15">
        <v>308</v>
      </c>
    </row>
    <row r="20" spans="1:23" ht="13.5" x14ac:dyDescent="0.2">
      <c r="A20" s="4" t="s">
        <v>31</v>
      </c>
      <c r="B20" s="5" t="s">
        <v>32</v>
      </c>
      <c r="C20" s="16"/>
      <c r="D20" s="17"/>
      <c r="E20" s="17"/>
      <c r="F20" s="17"/>
      <c r="G20" s="17"/>
      <c r="H20" s="17">
        <v>454</v>
      </c>
      <c r="I20" s="17">
        <v>351</v>
      </c>
      <c r="J20" s="17">
        <v>357</v>
      </c>
      <c r="K20" s="17">
        <v>224</v>
      </c>
      <c r="L20" s="17">
        <v>174</v>
      </c>
      <c r="M20" s="17"/>
      <c r="N20" s="17"/>
      <c r="O20" s="17"/>
      <c r="P20" s="17"/>
      <c r="Q20" s="17"/>
      <c r="R20" s="17"/>
      <c r="S20" s="17"/>
      <c r="T20" s="17"/>
      <c r="U20" s="18"/>
      <c r="V20" s="18"/>
      <c r="W20" s="19"/>
    </row>
    <row r="21" spans="1:23" ht="13.5" x14ac:dyDescent="0.2">
      <c r="A21" s="10">
        <v>15</v>
      </c>
      <c r="B21" s="11" t="s">
        <v>33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>
        <v>0</v>
      </c>
      <c r="N21" s="13">
        <v>243</v>
      </c>
      <c r="O21" s="13">
        <v>204</v>
      </c>
      <c r="P21" s="13">
        <f>130+22+161</f>
        <v>313</v>
      </c>
      <c r="Q21" s="13">
        <v>592</v>
      </c>
      <c r="R21" s="13">
        <v>552</v>
      </c>
      <c r="S21" s="13">
        <v>487</v>
      </c>
      <c r="T21" s="13">
        <v>811</v>
      </c>
      <c r="U21" s="14">
        <v>627</v>
      </c>
      <c r="V21" s="14">
        <v>1387</v>
      </c>
      <c r="W21" s="15">
        <v>1555</v>
      </c>
    </row>
    <row r="22" spans="1:23" ht="13.5" x14ac:dyDescent="0.2">
      <c r="A22" s="4" t="s">
        <v>34</v>
      </c>
      <c r="B22" s="5" t="s">
        <v>35</v>
      </c>
      <c r="C22" s="16">
        <v>0</v>
      </c>
      <c r="D22" s="17">
        <v>7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1</v>
      </c>
      <c r="K22" s="17">
        <v>0</v>
      </c>
      <c r="L22" s="17">
        <v>4</v>
      </c>
      <c r="M22" s="17">
        <v>0</v>
      </c>
      <c r="N22" s="17">
        <v>4</v>
      </c>
      <c r="O22" s="17">
        <v>4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8">
        <v>0</v>
      </c>
      <c r="V22" s="18">
        <v>0</v>
      </c>
      <c r="W22" s="19">
        <v>0</v>
      </c>
    </row>
    <row r="23" spans="1:23" ht="13.5" x14ac:dyDescent="0.2">
      <c r="A23" s="10" t="s">
        <v>36</v>
      </c>
      <c r="B23" s="11" t="s">
        <v>37</v>
      </c>
      <c r="C23" s="12">
        <v>0</v>
      </c>
      <c r="D23" s="13">
        <v>0</v>
      </c>
      <c r="E23" s="13">
        <v>0</v>
      </c>
      <c r="F23" s="13">
        <v>3</v>
      </c>
      <c r="G23" s="13">
        <v>1</v>
      </c>
      <c r="H23" s="13">
        <v>15</v>
      </c>
      <c r="I23" s="13">
        <v>30</v>
      </c>
      <c r="J23" s="13">
        <v>26</v>
      </c>
      <c r="K23" s="13">
        <v>26</v>
      </c>
      <c r="L23" s="13">
        <v>36</v>
      </c>
      <c r="M23" s="13">
        <v>38</v>
      </c>
      <c r="N23" s="13">
        <v>0</v>
      </c>
      <c r="O23" s="13">
        <v>0</v>
      </c>
      <c r="P23" s="13">
        <v>1</v>
      </c>
      <c r="Q23" s="13">
        <v>4</v>
      </c>
      <c r="R23" s="13">
        <v>4</v>
      </c>
      <c r="S23" s="13">
        <v>2</v>
      </c>
      <c r="T23" s="13">
        <v>0</v>
      </c>
      <c r="U23" s="14">
        <v>0</v>
      </c>
      <c r="V23" s="14">
        <v>0</v>
      </c>
      <c r="W23" s="15">
        <v>0</v>
      </c>
    </row>
    <row r="24" spans="1:23" ht="13.5" x14ac:dyDescent="0.2">
      <c r="A24" s="4" t="s">
        <v>38</v>
      </c>
      <c r="B24" s="5" t="s">
        <v>39</v>
      </c>
      <c r="C24" s="16">
        <v>165</v>
      </c>
      <c r="D24" s="17">
        <v>0</v>
      </c>
      <c r="E24" s="17">
        <v>0</v>
      </c>
      <c r="F24" s="17">
        <v>3</v>
      </c>
      <c r="G24" s="17">
        <v>3</v>
      </c>
      <c r="H24" s="17">
        <v>3</v>
      </c>
      <c r="I24" s="17">
        <v>3</v>
      </c>
      <c r="J24" s="17">
        <v>3</v>
      </c>
      <c r="K24" s="17">
        <v>3</v>
      </c>
      <c r="L24" s="17">
        <v>3</v>
      </c>
      <c r="M24" s="17">
        <v>3</v>
      </c>
      <c r="N24" s="17">
        <v>3</v>
      </c>
      <c r="O24" s="17">
        <v>3</v>
      </c>
      <c r="P24" s="17">
        <v>3</v>
      </c>
      <c r="Q24" s="17">
        <v>3</v>
      </c>
      <c r="R24" s="17">
        <v>3</v>
      </c>
      <c r="S24" s="17">
        <v>3</v>
      </c>
      <c r="T24" s="17">
        <v>3</v>
      </c>
      <c r="U24" s="18">
        <v>0</v>
      </c>
      <c r="V24" s="18">
        <v>6</v>
      </c>
      <c r="W24" s="19">
        <v>6</v>
      </c>
    </row>
    <row r="25" spans="1:23" ht="13.5" x14ac:dyDescent="0.2">
      <c r="A25" s="10" t="s">
        <v>40</v>
      </c>
      <c r="B25" s="11" t="s">
        <v>41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3">
        <v>2</v>
      </c>
      <c r="I25" s="13">
        <v>0</v>
      </c>
      <c r="J25" s="20">
        <v>0</v>
      </c>
      <c r="K25" s="20">
        <v>0</v>
      </c>
      <c r="L25" s="20">
        <v>0</v>
      </c>
      <c r="M25" s="20">
        <v>1</v>
      </c>
      <c r="N25" s="20">
        <v>1</v>
      </c>
      <c r="O25" s="20">
        <v>0</v>
      </c>
      <c r="P25" s="20">
        <v>0</v>
      </c>
      <c r="Q25" s="13">
        <v>0</v>
      </c>
      <c r="R25" s="13">
        <v>10</v>
      </c>
      <c r="S25" s="13">
        <v>13</v>
      </c>
      <c r="T25" s="13">
        <v>14</v>
      </c>
      <c r="U25" s="14">
        <v>14</v>
      </c>
      <c r="V25" s="14">
        <v>14</v>
      </c>
      <c r="W25" s="15">
        <v>14</v>
      </c>
    </row>
    <row r="26" spans="1:23" ht="13.5" x14ac:dyDescent="0.2">
      <c r="A26" s="4" t="s">
        <v>42</v>
      </c>
      <c r="B26" s="5" t="s">
        <v>43</v>
      </c>
      <c r="C26" s="16">
        <f>196+43+108</f>
        <v>347</v>
      </c>
      <c r="D26" s="17">
        <f>196+43+108+35</f>
        <v>382</v>
      </c>
      <c r="E26" s="17">
        <f>196+43+108+35</f>
        <v>382</v>
      </c>
      <c r="F26" s="17">
        <v>599</v>
      </c>
      <c r="G26" s="17">
        <v>702</v>
      </c>
      <c r="H26" s="17">
        <v>182</v>
      </c>
      <c r="I26" s="17">
        <v>449</v>
      </c>
      <c r="J26" s="17">
        <v>467</v>
      </c>
      <c r="K26" s="17">
        <v>467</v>
      </c>
      <c r="L26" s="17">
        <v>467</v>
      </c>
      <c r="M26" s="17">
        <v>246</v>
      </c>
      <c r="N26" s="17">
        <v>246</v>
      </c>
      <c r="O26" s="17">
        <v>2796</v>
      </c>
      <c r="P26" s="17">
        <f>532+421+3+2026</f>
        <v>2982</v>
      </c>
      <c r="Q26" s="17">
        <v>3920</v>
      </c>
      <c r="R26" s="17">
        <v>3241</v>
      </c>
      <c r="S26" s="17">
        <v>3018</v>
      </c>
      <c r="T26" s="17">
        <v>3329</v>
      </c>
      <c r="U26" s="18">
        <v>3469</v>
      </c>
      <c r="V26" s="18">
        <v>2629</v>
      </c>
      <c r="W26" s="19">
        <v>2183</v>
      </c>
    </row>
    <row r="27" spans="1:23" ht="13.5" x14ac:dyDescent="0.2">
      <c r="A27" s="10" t="s">
        <v>44</v>
      </c>
      <c r="B27" s="11" t="s">
        <v>45</v>
      </c>
      <c r="C27" s="12">
        <f>156+80+97</f>
        <v>333</v>
      </c>
      <c r="D27" s="13">
        <f>156+80+72</f>
        <v>308</v>
      </c>
      <c r="E27" s="13">
        <v>34</v>
      </c>
      <c r="F27" s="13">
        <v>53</v>
      </c>
      <c r="G27" s="13">
        <v>11</v>
      </c>
      <c r="H27" s="13">
        <v>0</v>
      </c>
      <c r="I27" s="13">
        <v>0</v>
      </c>
      <c r="J27" s="20">
        <v>0</v>
      </c>
      <c r="K27" s="20">
        <v>0</v>
      </c>
      <c r="L27" s="20">
        <v>249</v>
      </c>
      <c r="M27" s="20">
        <v>207</v>
      </c>
      <c r="N27" s="20">
        <v>284</v>
      </c>
      <c r="O27" s="20">
        <v>0</v>
      </c>
      <c r="P27" s="20">
        <v>0</v>
      </c>
      <c r="Q27" s="13">
        <v>575</v>
      </c>
      <c r="R27" s="13">
        <v>676</v>
      </c>
      <c r="S27" s="13">
        <v>655</v>
      </c>
      <c r="T27" s="13">
        <v>651</v>
      </c>
      <c r="U27" s="14">
        <v>726</v>
      </c>
      <c r="V27" s="14">
        <v>783</v>
      </c>
      <c r="W27" s="15">
        <v>750</v>
      </c>
    </row>
    <row r="28" spans="1:23" ht="13.5" x14ac:dyDescent="0.2">
      <c r="A28" s="4" t="s">
        <v>46</v>
      </c>
      <c r="B28" s="5" t="s">
        <v>47</v>
      </c>
      <c r="C28" s="16">
        <f>43+557</f>
        <v>600</v>
      </c>
      <c r="D28" s="17">
        <v>71</v>
      </c>
      <c r="E28" s="17">
        <f>68+429</f>
        <v>497</v>
      </c>
      <c r="F28" s="17">
        <v>636</v>
      </c>
      <c r="G28" s="17">
        <v>492</v>
      </c>
      <c r="H28" s="17">
        <v>559</v>
      </c>
      <c r="I28" s="17">
        <v>475</v>
      </c>
      <c r="J28" s="17">
        <v>469</v>
      </c>
      <c r="K28" s="17">
        <v>409</v>
      </c>
      <c r="L28" s="17">
        <v>450</v>
      </c>
      <c r="M28" s="17">
        <v>490</v>
      </c>
      <c r="N28" s="17">
        <v>42</v>
      </c>
      <c r="O28" s="17">
        <v>44</v>
      </c>
      <c r="P28" s="17">
        <f>17+8</f>
        <v>25</v>
      </c>
      <c r="Q28" s="17">
        <v>28</v>
      </c>
      <c r="R28" s="17">
        <v>449</v>
      </c>
      <c r="S28" s="17">
        <v>372</v>
      </c>
      <c r="T28" s="17">
        <v>337</v>
      </c>
      <c r="U28" s="18">
        <v>662</v>
      </c>
      <c r="V28" s="18">
        <v>452</v>
      </c>
      <c r="W28" s="19">
        <v>78</v>
      </c>
    </row>
    <row r="29" spans="1:23" ht="13.5" x14ac:dyDescent="0.2">
      <c r="A29" s="10" t="s">
        <v>48</v>
      </c>
      <c r="B29" s="11" t="s">
        <v>49</v>
      </c>
      <c r="C29" s="12">
        <f>68+111+424</f>
        <v>603</v>
      </c>
      <c r="D29" s="13">
        <f>65+209+99+155</f>
        <v>528</v>
      </c>
      <c r="E29" s="13">
        <f>256+95+111</f>
        <v>462</v>
      </c>
      <c r="F29" s="13">
        <v>325</v>
      </c>
      <c r="G29" s="13">
        <v>385</v>
      </c>
      <c r="H29" s="13">
        <v>373</v>
      </c>
      <c r="I29" s="13">
        <v>378</v>
      </c>
      <c r="J29" s="20">
        <v>364</v>
      </c>
      <c r="K29" s="20">
        <v>357</v>
      </c>
      <c r="L29" s="20">
        <v>360</v>
      </c>
      <c r="M29" s="20">
        <v>329</v>
      </c>
      <c r="N29" s="20">
        <v>332</v>
      </c>
      <c r="O29" s="20">
        <v>527</v>
      </c>
      <c r="P29" s="20">
        <f>18+315+35+112</f>
        <v>480</v>
      </c>
      <c r="Q29" s="13">
        <v>537</v>
      </c>
      <c r="R29" s="13">
        <v>530</v>
      </c>
      <c r="S29" s="13">
        <v>510</v>
      </c>
      <c r="T29" s="13">
        <v>594</v>
      </c>
      <c r="U29" s="14">
        <v>482</v>
      </c>
      <c r="V29" s="14">
        <v>419</v>
      </c>
      <c r="W29" s="15">
        <v>390</v>
      </c>
    </row>
    <row r="30" spans="1:23" ht="13.5" x14ac:dyDescent="0.2">
      <c r="A30" s="4">
        <v>29</v>
      </c>
      <c r="B30" s="5" t="s">
        <v>50</v>
      </c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>
        <v>2439</v>
      </c>
      <c r="P30" s="17">
        <f>8+1998</f>
        <v>2006</v>
      </c>
      <c r="Q30" s="17">
        <v>3145</v>
      </c>
      <c r="R30" s="17">
        <v>490</v>
      </c>
      <c r="S30" s="17">
        <v>262</v>
      </c>
      <c r="T30" s="17">
        <v>145</v>
      </c>
      <c r="U30" s="18">
        <v>436</v>
      </c>
      <c r="V30" s="18">
        <v>466</v>
      </c>
      <c r="W30" s="19">
        <v>479</v>
      </c>
    </row>
    <row r="31" spans="1:23" ht="13.5" x14ac:dyDescent="0.2">
      <c r="A31" s="10">
        <v>31</v>
      </c>
      <c r="B31" s="11" t="s">
        <v>51</v>
      </c>
      <c r="C31" s="12"/>
      <c r="D31" s="13"/>
      <c r="E31" s="13"/>
      <c r="F31" s="13"/>
      <c r="G31" s="13"/>
      <c r="H31" s="13"/>
      <c r="I31" s="13"/>
      <c r="J31" s="20"/>
      <c r="K31" s="20"/>
      <c r="L31" s="20"/>
      <c r="M31" s="20"/>
      <c r="N31" s="20"/>
      <c r="O31" s="20"/>
      <c r="P31" s="20"/>
      <c r="Q31" s="13"/>
      <c r="R31" s="13"/>
      <c r="S31" s="13"/>
      <c r="T31" s="13"/>
      <c r="U31" s="14">
        <v>1</v>
      </c>
      <c r="V31" s="14">
        <v>15</v>
      </c>
      <c r="W31" s="15">
        <v>23</v>
      </c>
    </row>
    <row r="32" spans="1:23" ht="13.5" x14ac:dyDescent="0.2">
      <c r="A32" s="4">
        <v>32</v>
      </c>
      <c r="B32" s="5" t="s">
        <v>52</v>
      </c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8"/>
      <c r="V32" s="18"/>
      <c r="W32" s="19">
        <v>2</v>
      </c>
    </row>
    <row r="33" spans="1:23" ht="13.5" x14ac:dyDescent="0.2">
      <c r="A33" s="10">
        <v>33</v>
      </c>
      <c r="B33" s="11" t="s">
        <v>53</v>
      </c>
      <c r="C33" s="12"/>
      <c r="D33" s="13"/>
      <c r="E33" s="13"/>
      <c r="F33" s="13"/>
      <c r="G33" s="13"/>
      <c r="H33" s="13"/>
      <c r="I33" s="13"/>
      <c r="J33" s="20"/>
      <c r="K33" s="20"/>
      <c r="L33" s="20"/>
      <c r="M33" s="20"/>
      <c r="N33" s="20"/>
      <c r="O33" s="20"/>
      <c r="P33" s="20"/>
      <c r="Q33" s="13"/>
      <c r="R33" s="13"/>
      <c r="S33" s="13"/>
      <c r="T33" s="13"/>
      <c r="U33" s="14"/>
      <c r="V33" s="14"/>
      <c r="W33" s="15">
        <v>2</v>
      </c>
    </row>
    <row r="34" spans="1:23" ht="13.5" x14ac:dyDescent="0.2">
      <c r="A34" s="4">
        <v>34</v>
      </c>
      <c r="B34" s="5" t="s">
        <v>54</v>
      </c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8"/>
      <c r="V34" s="18"/>
      <c r="W34" s="19">
        <v>0</v>
      </c>
    </row>
    <row r="35" spans="1:23" ht="13.5" x14ac:dyDescent="0.2">
      <c r="A35" s="10">
        <v>50</v>
      </c>
      <c r="B35" s="11" t="s">
        <v>55</v>
      </c>
      <c r="C35" s="12">
        <v>8</v>
      </c>
      <c r="D35" s="13">
        <f>6+2</f>
        <v>8</v>
      </c>
      <c r="E35" s="13">
        <v>3</v>
      </c>
      <c r="F35" s="13">
        <v>4</v>
      </c>
      <c r="G35" s="13">
        <v>11</v>
      </c>
      <c r="H35" s="13">
        <v>17</v>
      </c>
      <c r="I35" s="13">
        <v>17</v>
      </c>
      <c r="J35" s="20">
        <v>8</v>
      </c>
      <c r="K35" s="20">
        <v>18</v>
      </c>
      <c r="L35" s="20">
        <v>36</v>
      </c>
      <c r="M35" s="20">
        <v>69</v>
      </c>
      <c r="N35" s="20">
        <v>96</v>
      </c>
      <c r="O35" s="20">
        <v>105</v>
      </c>
      <c r="P35" s="20">
        <f>25+36</f>
        <v>61</v>
      </c>
      <c r="Q35" s="13">
        <v>53</v>
      </c>
      <c r="R35" s="13">
        <v>25</v>
      </c>
      <c r="S35" s="13">
        <v>26</v>
      </c>
      <c r="T35" s="13">
        <v>39</v>
      </c>
      <c r="U35" s="14">
        <v>18</v>
      </c>
      <c r="V35" s="14">
        <v>54</v>
      </c>
      <c r="W35" s="15">
        <v>51</v>
      </c>
    </row>
    <row r="36" spans="1:23" ht="13.5" x14ac:dyDescent="0.2">
      <c r="A36" s="4" t="s">
        <v>56</v>
      </c>
      <c r="B36" s="5" t="s">
        <v>57</v>
      </c>
      <c r="C36" s="16">
        <v>169</v>
      </c>
      <c r="D36" s="17">
        <v>156</v>
      </c>
      <c r="E36" s="17">
        <v>179</v>
      </c>
      <c r="F36" s="17">
        <v>177</v>
      </c>
      <c r="G36" s="17">
        <v>187</v>
      </c>
      <c r="H36" s="17">
        <v>155</v>
      </c>
      <c r="I36" s="17">
        <v>203</v>
      </c>
      <c r="J36" s="17">
        <v>0</v>
      </c>
      <c r="K36" s="17">
        <v>252</v>
      </c>
      <c r="L36" s="17">
        <v>247</v>
      </c>
      <c r="M36" s="17">
        <v>237</v>
      </c>
      <c r="N36" s="17">
        <v>348</v>
      </c>
      <c r="O36" s="17">
        <v>389</v>
      </c>
      <c r="P36" s="17">
        <f>3+241+243</f>
        <v>487</v>
      </c>
      <c r="Q36" s="17">
        <v>451</v>
      </c>
      <c r="R36" s="17">
        <v>318</v>
      </c>
      <c r="S36" s="17">
        <v>183</v>
      </c>
      <c r="T36" s="17">
        <v>178</v>
      </c>
      <c r="U36" s="18">
        <v>210</v>
      </c>
      <c r="V36" s="18">
        <v>278</v>
      </c>
      <c r="W36" s="19">
        <v>279</v>
      </c>
    </row>
    <row r="37" spans="1:23" ht="13.5" x14ac:dyDescent="0.2">
      <c r="A37" s="10" t="s">
        <v>58</v>
      </c>
      <c r="B37" s="11" t="s">
        <v>59</v>
      </c>
      <c r="C37" s="12">
        <f>59+258</f>
        <v>317</v>
      </c>
      <c r="D37" s="13">
        <f>59+257+27</f>
        <v>343</v>
      </c>
      <c r="E37" s="13">
        <f>59+171+27</f>
        <v>257</v>
      </c>
      <c r="F37" s="13">
        <v>44</v>
      </c>
      <c r="G37" s="13">
        <v>40</v>
      </c>
      <c r="H37" s="13">
        <v>39</v>
      </c>
      <c r="I37" s="13">
        <v>12</v>
      </c>
      <c r="J37" s="20">
        <v>9</v>
      </c>
      <c r="K37" s="20">
        <v>1</v>
      </c>
      <c r="L37" s="20">
        <v>0</v>
      </c>
      <c r="M37" s="20">
        <v>0</v>
      </c>
      <c r="N37" s="20">
        <v>3</v>
      </c>
      <c r="O37" s="20">
        <v>0</v>
      </c>
      <c r="P37" s="20">
        <v>3</v>
      </c>
      <c r="Q37" s="13">
        <v>23</v>
      </c>
      <c r="R37" s="13">
        <v>56</v>
      </c>
      <c r="S37" s="13">
        <v>63</v>
      </c>
      <c r="T37" s="13">
        <v>61</v>
      </c>
      <c r="U37" s="14">
        <v>66</v>
      </c>
      <c r="V37" s="14">
        <v>59</v>
      </c>
      <c r="W37" s="15">
        <v>59</v>
      </c>
    </row>
    <row r="38" spans="1:23" ht="13.5" x14ac:dyDescent="0.2">
      <c r="A38" s="4" t="s">
        <v>60</v>
      </c>
      <c r="B38" s="5" t="s">
        <v>61</v>
      </c>
      <c r="C38" s="16">
        <f>19+407</f>
        <v>426</v>
      </c>
      <c r="D38" s="17">
        <v>465</v>
      </c>
      <c r="E38" s="17">
        <v>463</v>
      </c>
      <c r="F38" s="17">
        <v>356</v>
      </c>
      <c r="G38" s="17">
        <v>370</v>
      </c>
      <c r="H38" s="17">
        <v>363</v>
      </c>
      <c r="I38" s="17">
        <v>353</v>
      </c>
      <c r="J38" s="17">
        <v>363</v>
      </c>
      <c r="K38" s="17">
        <v>346</v>
      </c>
      <c r="L38" s="17">
        <v>351</v>
      </c>
      <c r="M38" s="17">
        <v>299</v>
      </c>
      <c r="N38" s="17">
        <v>217</v>
      </c>
      <c r="O38" s="17">
        <v>243</v>
      </c>
      <c r="P38" s="17">
        <f>3+184+45</f>
        <v>232</v>
      </c>
      <c r="Q38" s="17">
        <v>200</v>
      </c>
      <c r="R38" s="17">
        <v>286</v>
      </c>
      <c r="S38" s="17">
        <v>297</v>
      </c>
      <c r="T38" s="17">
        <v>300</v>
      </c>
      <c r="U38" s="18">
        <v>336</v>
      </c>
      <c r="V38" s="18">
        <v>313</v>
      </c>
      <c r="W38" s="19">
        <v>356</v>
      </c>
    </row>
    <row r="39" spans="1:23" ht="13.5" x14ac:dyDescent="0.2">
      <c r="A39" s="10" t="s">
        <v>62</v>
      </c>
      <c r="B39" s="11" t="s">
        <v>63</v>
      </c>
      <c r="C39" s="12">
        <f>3+46</f>
        <v>49</v>
      </c>
      <c r="D39" s="13">
        <v>48</v>
      </c>
      <c r="E39" s="13">
        <f>4+5+112</f>
        <v>121</v>
      </c>
      <c r="F39" s="13">
        <v>21</v>
      </c>
      <c r="G39" s="13">
        <v>67</v>
      </c>
      <c r="H39" s="13">
        <v>95</v>
      </c>
      <c r="I39" s="13">
        <v>64</v>
      </c>
      <c r="J39" s="20">
        <v>62</v>
      </c>
      <c r="K39" s="20">
        <v>57</v>
      </c>
      <c r="L39" s="20">
        <v>57</v>
      </c>
      <c r="M39" s="20">
        <v>87</v>
      </c>
      <c r="N39" s="20">
        <v>222</v>
      </c>
      <c r="O39" s="20">
        <v>293</v>
      </c>
      <c r="P39" s="20">
        <f>85+12+1+30</f>
        <v>128</v>
      </c>
      <c r="Q39" s="13">
        <v>54</v>
      </c>
      <c r="R39" s="13">
        <v>15</v>
      </c>
      <c r="S39" s="13">
        <v>21</v>
      </c>
      <c r="T39" s="13">
        <v>125</v>
      </c>
      <c r="U39" s="14">
        <v>149</v>
      </c>
      <c r="V39" s="14">
        <v>135</v>
      </c>
      <c r="W39" s="15">
        <v>70</v>
      </c>
    </row>
    <row r="40" spans="1:23" ht="13.5" x14ac:dyDescent="0.2">
      <c r="A40" s="4" t="s">
        <v>64</v>
      </c>
      <c r="B40" s="5" t="s">
        <v>65</v>
      </c>
      <c r="C40" s="16">
        <f>970+80+4+28</f>
        <v>1082</v>
      </c>
      <c r="D40" s="17">
        <f>940+60+5+41</f>
        <v>1046</v>
      </c>
      <c r="E40" s="17">
        <f>915+47+6+63</f>
        <v>1031</v>
      </c>
      <c r="F40" s="17">
        <v>973</v>
      </c>
      <c r="G40" s="17">
        <v>976</v>
      </c>
      <c r="H40" s="17">
        <v>948</v>
      </c>
      <c r="I40" s="17">
        <v>945</v>
      </c>
      <c r="J40" s="17">
        <v>925</v>
      </c>
      <c r="K40" s="17">
        <v>911</v>
      </c>
      <c r="L40" s="17">
        <v>901</v>
      </c>
      <c r="M40" s="17">
        <v>845</v>
      </c>
      <c r="N40" s="17">
        <v>23</v>
      </c>
      <c r="O40" s="17">
        <v>5</v>
      </c>
      <c r="P40" s="17">
        <f>50+5</f>
        <v>55</v>
      </c>
      <c r="Q40" s="17">
        <v>69</v>
      </c>
      <c r="R40" s="17">
        <v>58</v>
      </c>
      <c r="S40" s="17">
        <v>86</v>
      </c>
      <c r="T40" s="17">
        <v>198</v>
      </c>
      <c r="U40" s="18">
        <v>235</v>
      </c>
      <c r="V40" s="18">
        <v>209</v>
      </c>
      <c r="W40" s="19">
        <v>219</v>
      </c>
    </row>
    <row r="41" spans="1:23" ht="13.5" x14ac:dyDescent="0.2">
      <c r="A41" s="10" t="s">
        <v>66</v>
      </c>
      <c r="B41" s="11" t="s">
        <v>67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20">
        <v>0</v>
      </c>
      <c r="K41" s="20">
        <v>0</v>
      </c>
      <c r="L41" s="20">
        <v>0</v>
      </c>
      <c r="M41" s="20">
        <v>33</v>
      </c>
      <c r="N41" s="20">
        <v>93</v>
      </c>
      <c r="O41" s="20">
        <v>55</v>
      </c>
      <c r="P41" s="20">
        <f>55+2</f>
        <v>57</v>
      </c>
      <c r="Q41" s="13">
        <v>71</v>
      </c>
      <c r="R41" s="13">
        <v>40</v>
      </c>
      <c r="S41" s="13">
        <v>27</v>
      </c>
      <c r="T41" s="13">
        <v>9</v>
      </c>
      <c r="U41" s="14">
        <v>27</v>
      </c>
      <c r="V41" s="14">
        <v>19</v>
      </c>
      <c r="W41" s="15">
        <v>8</v>
      </c>
    </row>
    <row r="42" spans="1:23" ht="13.5" x14ac:dyDescent="0.2">
      <c r="A42" s="4" t="s">
        <v>68</v>
      </c>
      <c r="B42" s="5" t="s">
        <v>69</v>
      </c>
      <c r="C42" s="16">
        <v>36</v>
      </c>
      <c r="D42" s="17">
        <v>2</v>
      </c>
      <c r="E42" s="17">
        <v>2</v>
      </c>
      <c r="F42" s="17">
        <v>2</v>
      </c>
      <c r="G42" s="17">
        <v>2</v>
      </c>
      <c r="H42" s="17">
        <v>2</v>
      </c>
      <c r="I42" s="17">
        <v>3</v>
      </c>
      <c r="J42" s="17">
        <v>2</v>
      </c>
      <c r="K42" s="17">
        <v>2</v>
      </c>
      <c r="L42" s="17">
        <v>2</v>
      </c>
      <c r="M42" s="17">
        <v>2</v>
      </c>
      <c r="N42" s="17">
        <v>2</v>
      </c>
      <c r="O42" s="17">
        <v>5</v>
      </c>
      <c r="P42" s="17">
        <f>2+4</f>
        <v>6</v>
      </c>
      <c r="Q42" s="17">
        <v>9</v>
      </c>
      <c r="R42" s="17">
        <v>20</v>
      </c>
      <c r="S42" s="17">
        <v>22</v>
      </c>
      <c r="T42" s="17">
        <v>25</v>
      </c>
      <c r="U42" s="18">
        <v>22</v>
      </c>
      <c r="V42" s="18">
        <v>22</v>
      </c>
      <c r="W42" s="19">
        <v>22</v>
      </c>
    </row>
    <row r="43" spans="1:23" ht="13.5" x14ac:dyDescent="0.2">
      <c r="A43" s="10" t="s">
        <v>70</v>
      </c>
      <c r="B43" s="11" t="s">
        <v>71</v>
      </c>
      <c r="C43" s="12">
        <v>2</v>
      </c>
      <c r="D43" s="13">
        <v>5</v>
      </c>
      <c r="E43" s="13">
        <v>4</v>
      </c>
      <c r="F43" s="13">
        <v>3</v>
      </c>
      <c r="G43" s="13">
        <v>5</v>
      </c>
      <c r="H43" s="13">
        <v>18</v>
      </c>
      <c r="I43" s="13">
        <v>19</v>
      </c>
      <c r="J43" s="20">
        <v>14</v>
      </c>
      <c r="K43" s="20">
        <v>17</v>
      </c>
      <c r="L43" s="20">
        <v>5</v>
      </c>
      <c r="M43" s="20">
        <v>41</v>
      </c>
      <c r="N43" s="20">
        <v>51</v>
      </c>
      <c r="O43" s="20">
        <v>78</v>
      </c>
      <c r="P43" s="20">
        <f>87+5+4</f>
        <v>96</v>
      </c>
      <c r="Q43" s="13">
        <v>109</v>
      </c>
      <c r="R43" s="13">
        <v>131</v>
      </c>
      <c r="S43" s="13">
        <v>130</v>
      </c>
      <c r="T43" s="13">
        <v>82</v>
      </c>
      <c r="U43" s="14">
        <v>56</v>
      </c>
      <c r="V43" s="14">
        <v>48</v>
      </c>
      <c r="W43" s="15">
        <v>23</v>
      </c>
    </row>
    <row r="44" spans="1:23" ht="13.5" x14ac:dyDescent="0.2">
      <c r="A44" s="4" t="s">
        <v>72</v>
      </c>
      <c r="B44" s="5" t="s">
        <v>73</v>
      </c>
      <c r="C44" s="16">
        <f>77+65+504</f>
        <v>646</v>
      </c>
      <c r="D44" s="17">
        <f>71+61+595</f>
        <v>727</v>
      </c>
      <c r="E44" s="17">
        <f>145+58+591</f>
        <v>794</v>
      </c>
      <c r="F44" s="17">
        <v>879</v>
      </c>
      <c r="G44" s="17">
        <v>951</v>
      </c>
      <c r="H44" s="17">
        <v>1091</v>
      </c>
      <c r="I44" s="17">
        <v>1071</v>
      </c>
      <c r="J44" s="17">
        <v>1047</v>
      </c>
      <c r="K44" s="17">
        <v>1018</v>
      </c>
      <c r="L44" s="17">
        <v>982</v>
      </c>
      <c r="M44" s="17">
        <v>1091</v>
      </c>
      <c r="N44" s="17">
        <v>910</v>
      </c>
      <c r="O44" s="17">
        <v>984</v>
      </c>
      <c r="P44" s="17">
        <f>4+1044</f>
        <v>1048</v>
      </c>
      <c r="Q44" s="17">
        <v>1456</v>
      </c>
      <c r="R44" s="17">
        <v>1709</v>
      </c>
      <c r="S44" s="17">
        <v>606</v>
      </c>
      <c r="T44" s="17">
        <v>801</v>
      </c>
      <c r="U44" s="18">
        <v>1389</v>
      </c>
      <c r="V44" s="18">
        <v>1698</v>
      </c>
      <c r="W44" s="19">
        <v>881</v>
      </c>
    </row>
    <row r="45" spans="1:23" ht="13.5" x14ac:dyDescent="0.2">
      <c r="A45" s="10" t="s">
        <v>74</v>
      </c>
      <c r="B45" s="11" t="s">
        <v>75</v>
      </c>
      <c r="C45" s="12">
        <f>251+2+27</f>
        <v>280</v>
      </c>
      <c r="D45" s="13">
        <f>241+10+26</f>
        <v>277</v>
      </c>
      <c r="E45" s="13">
        <f>236+11+22</f>
        <v>269</v>
      </c>
      <c r="F45" s="13">
        <v>264</v>
      </c>
      <c r="G45" s="13">
        <v>263</v>
      </c>
      <c r="H45" s="13">
        <v>256</v>
      </c>
      <c r="I45" s="13">
        <v>237</v>
      </c>
      <c r="J45" s="20">
        <v>250</v>
      </c>
      <c r="K45" s="20">
        <v>231</v>
      </c>
      <c r="L45" s="20">
        <v>308</v>
      </c>
      <c r="M45" s="20">
        <v>372</v>
      </c>
      <c r="N45" s="20">
        <v>180</v>
      </c>
      <c r="O45" s="20">
        <v>208</v>
      </c>
      <c r="P45" s="20">
        <f>56+1+18</f>
        <v>75</v>
      </c>
      <c r="Q45" s="13">
        <v>136</v>
      </c>
      <c r="R45" s="13">
        <v>228</v>
      </c>
      <c r="S45" s="13">
        <v>359</v>
      </c>
      <c r="T45" s="13">
        <v>718</v>
      </c>
      <c r="U45" s="14">
        <v>733</v>
      </c>
      <c r="V45" s="14">
        <v>398</v>
      </c>
      <c r="W45" s="15">
        <v>328</v>
      </c>
    </row>
    <row r="46" spans="1:23" ht="13.5" x14ac:dyDescent="0.2">
      <c r="A46" s="4">
        <v>67</v>
      </c>
      <c r="B46" s="5" t="s">
        <v>76</v>
      </c>
      <c r="C46" s="16"/>
      <c r="D46" s="17">
        <f>4+417</f>
        <v>421</v>
      </c>
      <c r="E46" s="17">
        <f>411+6</f>
        <v>417</v>
      </c>
      <c r="F46" s="17">
        <v>337</v>
      </c>
      <c r="G46" s="17">
        <v>322</v>
      </c>
      <c r="H46" s="17">
        <v>266</v>
      </c>
      <c r="I46" s="17">
        <v>264</v>
      </c>
      <c r="J46" s="17">
        <v>276</v>
      </c>
      <c r="K46" s="17">
        <v>314</v>
      </c>
      <c r="L46" s="17">
        <v>268</v>
      </c>
      <c r="M46" s="17">
        <v>271</v>
      </c>
      <c r="N46" s="17">
        <v>20</v>
      </c>
      <c r="O46" s="17">
        <v>17</v>
      </c>
      <c r="P46" s="17">
        <f>4+7</f>
        <v>11</v>
      </c>
      <c r="Q46" s="17">
        <v>3</v>
      </c>
      <c r="R46" s="17">
        <v>1</v>
      </c>
      <c r="S46" s="17">
        <v>0</v>
      </c>
      <c r="T46" s="17">
        <v>9</v>
      </c>
      <c r="U46" s="18">
        <v>29</v>
      </c>
      <c r="V46" s="18">
        <v>21</v>
      </c>
      <c r="W46" s="19">
        <v>26</v>
      </c>
    </row>
    <row r="47" spans="1:23" ht="13.5" x14ac:dyDescent="0.2">
      <c r="A47" s="10">
        <v>68</v>
      </c>
      <c r="B47" s="11" t="s">
        <v>77</v>
      </c>
      <c r="C47" s="12"/>
      <c r="D47" s="13"/>
      <c r="E47" s="13"/>
      <c r="F47" s="13"/>
      <c r="G47" s="13"/>
      <c r="H47" s="13"/>
      <c r="I47" s="13"/>
      <c r="J47" s="20"/>
      <c r="K47" s="20"/>
      <c r="L47" s="20"/>
      <c r="M47" s="20"/>
      <c r="N47" s="20"/>
      <c r="O47" s="20">
        <v>29</v>
      </c>
      <c r="P47" s="20">
        <f>2+39</f>
        <v>41</v>
      </c>
      <c r="Q47" s="13">
        <v>106</v>
      </c>
      <c r="R47" s="13">
        <v>89</v>
      </c>
      <c r="S47" s="13">
        <v>81</v>
      </c>
      <c r="T47" s="13">
        <v>86</v>
      </c>
      <c r="U47" s="14">
        <v>111</v>
      </c>
      <c r="V47" s="14">
        <v>129</v>
      </c>
      <c r="W47" s="15">
        <v>139</v>
      </c>
    </row>
    <row r="48" spans="1:23" ht="13.5" x14ac:dyDescent="0.2">
      <c r="A48" s="4" t="s">
        <v>78</v>
      </c>
      <c r="B48" s="5" t="s">
        <v>79</v>
      </c>
      <c r="C48" s="21">
        <f>4+29</f>
        <v>33</v>
      </c>
      <c r="D48" s="22">
        <v>26</v>
      </c>
      <c r="E48" s="22">
        <v>46</v>
      </c>
      <c r="F48" s="22">
        <v>44</v>
      </c>
      <c r="G48" s="22">
        <v>42</v>
      </c>
      <c r="H48" s="22">
        <v>36</v>
      </c>
      <c r="I48" s="22">
        <v>35</v>
      </c>
      <c r="J48" s="22">
        <v>32</v>
      </c>
      <c r="K48" s="22">
        <v>33</v>
      </c>
      <c r="L48" s="22">
        <v>28</v>
      </c>
      <c r="M48" s="22">
        <v>36</v>
      </c>
      <c r="N48" s="22">
        <v>34</v>
      </c>
      <c r="O48" s="22">
        <v>20</v>
      </c>
      <c r="P48" s="22">
        <f>1+26</f>
        <v>27</v>
      </c>
      <c r="Q48" s="22">
        <v>34</v>
      </c>
      <c r="R48" s="22">
        <v>35</v>
      </c>
      <c r="S48" s="22">
        <v>24</v>
      </c>
      <c r="T48" s="22">
        <v>27</v>
      </c>
      <c r="U48" s="23">
        <v>30</v>
      </c>
      <c r="V48" s="23">
        <v>34</v>
      </c>
      <c r="W48" s="24">
        <v>43</v>
      </c>
    </row>
    <row r="49" spans="1:23" ht="13.5" x14ac:dyDescent="0.2">
      <c r="A49" s="25" t="s">
        <v>80</v>
      </c>
      <c r="B49" s="26" t="s">
        <v>81</v>
      </c>
      <c r="C49" s="27">
        <v>3</v>
      </c>
      <c r="D49" s="28">
        <v>8</v>
      </c>
      <c r="E49" s="28">
        <v>6</v>
      </c>
      <c r="F49" s="28">
        <v>5</v>
      </c>
      <c r="G49" s="28">
        <v>0</v>
      </c>
      <c r="H49" s="28">
        <v>0</v>
      </c>
      <c r="I49" s="28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6</v>
      </c>
      <c r="Q49" s="28">
        <v>13</v>
      </c>
      <c r="R49" s="28">
        <v>9</v>
      </c>
      <c r="S49" s="28">
        <v>11</v>
      </c>
      <c r="T49" s="28">
        <v>13</v>
      </c>
      <c r="U49" s="30">
        <v>12</v>
      </c>
      <c r="V49" s="30">
        <v>10</v>
      </c>
      <c r="W49" s="31">
        <v>7</v>
      </c>
    </row>
    <row r="50" spans="1:23" ht="13.5" x14ac:dyDescent="0.2">
      <c r="A50" s="4" t="s">
        <v>82</v>
      </c>
      <c r="B50" s="5" t="s">
        <v>83</v>
      </c>
      <c r="C50" s="16">
        <v>18</v>
      </c>
      <c r="D50" s="17">
        <f>22+11+3</f>
        <v>36</v>
      </c>
      <c r="E50" s="17">
        <v>4</v>
      </c>
      <c r="F50" s="17">
        <v>7</v>
      </c>
      <c r="G50" s="17">
        <v>16</v>
      </c>
      <c r="H50" s="17">
        <v>15</v>
      </c>
      <c r="I50" s="17">
        <v>15</v>
      </c>
      <c r="J50" s="17">
        <v>12</v>
      </c>
      <c r="K50" s="17">
        <v>12</v>
      </c>
      <c r="L50" s="17">
        <v>6</v>
      </c>
      <c r="M50" s="17">
        <v>4</v>
      </c>
      <c r="N50" s="17">
        <v>0</v>
      </c>
      <c r="O50" s="17">
        <v>219</v>
      </c>
      <c r="P50" s="17">
        <v>141</v>
      </c>
      <c r="Q50" s="17">
        <v>121</v>
      </c>
      <c r="R50" s="17">
        <v>90</v>
      </c>
      <c r="S50" s="17">
        <v>56</v>
      </c>
      <c r="T50" s="17">
        <v>21</v>
      </c>
      <c r="U50" s="18">
        <v>64</v>
      </c>
      <c r="V50" s="18">
        <v>33</v>
      </c>
      <c r="W50" s="19">
        <v>5</v>
      </c>
    </row>
    <row r="51" spans="1:23" s="32" customFormat="1" ht="13.5" x14ac:dyDescent="0.2">
      <c r="A51" s="10" t="s">
        <v>84</v>
      </c>
      <c r="B51" s="11" t="s">
        <v>85</v>
      </c>
      <c r="C51" s="12">
        <v>3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13">
        <v>1</v>
      </c>
      <c r="R51" s="13">
        <v>0</v>
      </c>
      <c r="S51" s="13">
        <v>0</v>
      </c>
      <c r="T51" s="13">
        <v>0</v>
      </c>
      <c r="U51" s="14">
        <v>0</v>
      </c>
      <c r="V51" s="14">
        <v>0</v>
      </c>
      <c r="W51" s="15">
        <v>0</v>
      </c>
    </row>
    <row r="52" spans="1:23" ht="13.5" x14ac:dyDescent="0.2">
      <c r="A52" s="4" t="s">
        <v>86</v>
      </c>
      <c r="B52" s="5" t="s">
        <v>87</v>
      </c>
      <c r="C52" s="16">
        <v>7</v>
      </c>
      <c r="D52" s="17">
        <v>55</v>
      </c>
      <c r="E52" s="17">
        <v>55</v>
      </c>
      <c r="F52" s="17">
        <v>55</v>
      </c>
      <c r="G52" s="17">
        <v>67</v>
      </c>
      <c r="H52" s="17">
        <v>55</v>
      </c>
      <c r="I52" s="17">
        <v>88</v>
      </c>
      <c r="J52" s="17">
        <v>88</v>
      </c>
      <c r="K52" s="17">
        <v>88</v>
      </c>
      <c r="L52" s="17">
        <v>88</v>
      </c>
      <c r="M52" s="17">
        <v>89</v>
      </c>
      <c r="N52" s="17">
        <v>117</v>
      </c>
      <c r="O52" s="17">
        <v>110</v>
      </c>
      <c r="P52" s="17">
        <v>124</v>
      </c>
      <c r="Q52" s="17">
        <v>122</v>
      </c>
      <c r="R52" s="17">
        <v>117</v>
      </c>
      <c r="S52" s="17">
        <v>145</v>
      </c>
      <c r="T52" s="17">
        <v>146</v>
      </c>
      <c r="U52" s="18">
        <v>136</v>
      </c>
      <c r="V52" s="18">
        <v>130</v>
      </c>
      <c r="W52" s="19">
        <v>126</v>
      </c>
    </row>
    <row r="53" spans="1:23" ht="13.5" x14ac:dyDescent="0.2">
      <c r="A53" s="10" t="s">
        <v>88</v>
      </c>
      <c r="B53" s="11" t="s">
        <v>89</v>
      </c>
      <c r="C53" s="12">
        <v>16</v>
      </c>
      <c r="D53" s="13">
        <f>16+28</f>
        <v>44</v>
      </c>
      <c r="E53" s="13">
        <v>16</v>
      </c>
      <c r="F53" s="13">
        <v>15</v>
      </c>
      <c r="G53" s="13">
        <v>11</v>
      </c>
      <c r="H53" s="13">
        <v>11</v>
      </c>
      <c r="I53" s="13">
        <v>20</v>
      </c>
      <c r="J53" s="20">
        <v>20</v>
      </c>
      <c r="K53" s="20">
        <v>30</v>
      </c>
      <c r="L53" s="20">
        <v>31</v>
      </c>
      <c r="M53" s="20">
        <v>29</v>
      </c>
      <c r="N53" s="20">
        <v>0</v>
      </c>
      <c r="O53" s="20">
        <v>34</v>
      </c>
      <c r="P53" s="20">
        <v>33</v>
      </c>
      <c r="Q53" s="13">
        <v>53</v>
      </c>
      <c r="R53" s="13">
        <v>19</v>
      </c>
      <c r="S53" s="13">
        <v>25</v>
      </c>
      <c r="T53" s="13">
        <v>42</v>
      </c>
      <c r="U53" s="14">
        <v>22</v>
      </c>
      <c r="V53" s="14">
        <v>17</v>
      </c>
      <c r="W53" s="15">
        <v>28</v>
      </c>
    </row>
    <row r="54" spans="1:23" ht="13.5" x14ac:dyDescent="0.2">
      <c r="A54" s="4" t="s">
        <v>90</v>
      </c>
      <c r="B54" s="5" t="s">
        <v>91</v>
      </c>
      <c r="C54" s="16">
        <v>10</v>
      </c>
      <c r="D54" s="17">
        <v>15</v>
      </c>
      <c r="E54" s="17">
        <v>17</v>
      </c>
      <c r="F54" s="17">
        <v>16</v>
      </c>
      <c r="G54" s="17">
        <v>19</v>
      </c>
      <c r="H54" s="17">
        <v>18</v>
      </c>
      <c r="I54" s="17">
        <v>18</v>
      </c>
      <c r="J54" s="17">
        <v>19</v>
      </c>
      <c r="K54" s="17">
        <v>18</v>
      </c>
      <c r="L54" s="17">
        <v>18</v>
      </c>
      <c r="M54" s="17">
        <v>19</v>
      </c>
      <c r="N54" s="17">
        <v>29</v>
      </c>
      <c r="O54" s="17">
        <v>45</v>
      </c>
      <c r="P54" s="17">
        <v>45</v>
      </c>
      <c r="Q54" s="17">
        <v>45</v>
      </c>
      <c r="R54" s="17">
        <v>44</v>
      </c>
      <c r="S54" s="17">
        <v>42</v>
      </c>
      <c r="T54" s="17">
        <v>55</v>
      </c>
      <c r="U54" s="18">
        <v>104</v>
      </c>
      <c r="V54" s="18">
        <v>118</v>
      </c>
      <c r="W54" s="19">
        <v>105</v>
      </c>
    </row>
    <row r="55" spans="1:23" ht="13.5" x14ac:dyDescent="0.2">
      <c r="A55" s="10" t="s">
        <v>92</v>
      </c>
      <c r="B55" s="11" t="s">
        <v>93</v>
      </c>
      <c r="C55" s="12">
        <v>34</v>
      </c>
      <c r="D55" s="13">
        <v>0</v>
      </c>
      <c r="E55" s="13">
        <f>4+10+24+10+4</f>
        <v>52</v>
      </c>
      <c r="F55" s="13">
        <v>28</v>
      </c>
      <c r="G55" s="13">
        <v>37</v>
      </c>
      <c r="H55" s="13">
        <v>32</v>
      </c>
      <c r="I55" s="13">
        <v>34</v>
      </c>
      <c r="J55" s="20">
        <v>46</v>
      </c>
      <c r="K55" s="20">
        <v>29</v>
      </c>
      <c r="L55" s="20">
        <v>29</v>
      </c>
      <c r="M55" s="20">
        <v>25</v>
      </c>
      <c r="N55" s="20">
        <v>8</v>
      </c>
      <c r="O55" s="20">
        <v>14</v>
      </c>
      <c r="P55" s="20">
        <v>5</v>
      </c>
      <c r="Q55" s="13">
        <v>1</v>
      </c>
      <c r="R55" s="13">
        <v>22</v>
      </c>
      <c r="S55" s="13">
        <v>39</v>
      </c>
      <c r="T55" s="13">
        <v>28</v>
      </c>
      <c r="U55" s="14">
        <v>41</v>
      </c>
      <c r="V55" s="14">
        <v>24</v>
      </c>
      <c r="W55" s="15">
        <v>15</v>
      </c>
    </row>
    <row r="56" spans="1:23" ht="13.5" x14ac:dyDescent="0.2">
      <c r="A56" s="4" t="s">
        <v>94</v>
      </c>
      <c r="B56" s="5" t="s">
        <v>95</v>
      </c>
      <c r="C56" s="16">
        <v>108</v>
      </c>
      <c r="D56" s="17">
        <v>253</v>
      </c>
      <c r="E56" s="17">
        <v>0</v>
      </c>
      <c r="F56" s="17">
        <v>38</v>
      </c>
      <c r="G56" s="17">
        <v>18</v>
      </c>
      <c r="H56" s="17">
        <v>32</v>
      </c>
      <c r="I56" s="17">
        <v>0</v>
      </c>
      <c r="J56" s="17">
        <v>32</v>
      </c>
      <c r="K56" s="17">
        <v>27</v>
      </c>
      <c r="L56" s="17">
        <v>22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1</v>
      </c>
      <c r="T56" s="17">
        <v>1</v>
      </c>
      <c r="U56" s="18">
        <v>1</v>
      </c>
      <c r="V56" s="18">
        <v>1</v>
      </c>
      <c r="W56" s="19">
        <v>0</v>
      </c>
    </row>
    <row r="57" spans="1:23" ht="13.5" x14ac:dyDescent="0.2">
      <c r="A57" s="10" t="s">
        <v>96</v>
      </c>
      <c r="B57" s="11" t="s">
        <v>97</v>
      </c>
      <c r="C57" s="12">
        <v>11</v>
      </c>
      <c r="D57" s="13">
        <f>17+1+10</f>
        <v>28</v>
      </c>
      <c r="E57" s="13">
        <f>20+2+1+11</f>
        <v>34</v>
      </c>
      <c r="F57" s="13">
        <v>32</v>
      </c>
      <c r="G57" s="13">
        <v>35</v>
      </c>
      <c r="H57" s="13">
        <v>21</v>
      </c>
      <c r="I57" s="13">
        <v>30</v>
      </c>
      <c r="J57" s="20">
        <v>13</v>
      </c>
      <c r="K57" s="20">
        <v>9</v>
      </c>
      <c r="L57" s="20">
        <v>22</v>
      </c>
      <c r="M57" s="20">
        <v>8</v>
      </c>
      <c r="N57" s="20">
        <v>5</v>
      </c>
      <c r="O57" s="20">
        <v>3</v>
      </c>
      <c r="P57" s="20">
        <v>14</v>
      </c>
      <c r="Q57" s="13">
        <v>81</v>
      </c>
      <c r="R57" s="13">
        <v>128</v>
      </c>
      <c r="S57" s="13">
        <v>82</v>
      </c>
      <c r="T57" s="13">
        <v>107</v>
      </c>
      <c r="U57" s="14">
        <v>126</v>
      </c>
      <c r="V57" s="14">
        <v>126</v>
      </c>
      <c r="W57" s="15">
        <v>95</v>
      </c>
    </row>
    <row r="58" spans="1:23" ht="13.5" x14ac:dyDescent="0.2">
      <c r="A58" s="4" t="s">
        <v>98</v>
      </c>
      <c r="B58" s="5" t="s">
        <v>99</v>
      </c>
      <c r="C58" s="16">
        <v>17</v>
      </c>
      <c r="D58" s="17">
        <v>21</v>
      </c>
      <c r="E58" s="17">
        <f>7+19</f>
        <v>26</v>
      </c>
      <c r="F58" s="17">
        <v>38</v>
      </c>
      <c r="G58" s="17">
        <v>38</v>
      </c>
      <c r="H58" s="17">
        <v>46</v>
      </c>
      <c r="I58" s="17">
        <v>47</v>
      </c>
      <c r="J58" s="17">
        <v>62</v>
      </c>
      <c r="K58" s="17">
        <v>86</v>
      </c>
      <c r="L58" s="17">
        <v>120</v>
      </c>
      <c r="M58" s="17">
        <v>78</v>
      </c>
      <c r="N58" s="17">
        <v>466</v>
      </c>
      <c r="O58" s="17">
        <v>102</v>
      </c>
      <c r="P58" s="17">
        <v>98</v>
      </c>
      <c r="Q58" s="17">
        <v>104</v>
      </c>
      <c r="R58" s="17">
        <v>159</v>
      </c>
      <c r="S58" s="17">
        <v>184</v>
      </c>
      <c r="T58" s="17">
        <v>166</v>
      </c>
      <c r="U58" s="18">
        <v>185</v>
      </c>
      <c r="V58" s="18">
        <v>240</v>
      </c>
      <c r="W58" s="19">
        <v>160</v>
      </c>
    </row>
    <row r="59" spans="1:23" ht="13.5" x14ac:dyDescent="0.2">
      <c r="A59" s="10" t="s">
        <v>100</v>
      </c>
      <c r="B59" s="11" t="s">
        <v>101</v>
      </c>
      <c r="C59" s="12">
        <v>16</v>
      </c>
      <c r="D59" s="13">
        <f>12+13</f>
        <v>25</v>
      </c>
      <c r="E59" s="13">
        <v>23</v>
      </c>
      <c r="F59" s="13">
        <v>10</v>
      </c>
      <c r="G59" s="13">
        <v>10</v>
      </c>
      <c r="H59" s="13">
        <v>11</v>
      </c>
      <c r="I59" s="13">
        <v>10</v>
      </c>
      <c r="J59" s="20">
        <v>12</v>
      </c>
      <c r="K59" s="20">
        <v>4</v>
      </c>
      <c r="L59" s="20">
        <v>4</v>
      </c>
      <c r="M59" s="20">
        <v>27</v>
      </c>
      <c r="N59" s="20">
        <v>42</v>
      </c>
      <c r="O59" s="20">
        <v>56</v>
      </c>
      <c r="P59" s="20">
        <v>20</v>
      </c>
      <c r="Q59" s="13">
        <v>19</v>
      </c>
      <c r="R59" s="13">
        <v>20</v>
      </c>
      <c r="S59" s="13">
        <v>17</v>
      </c>
      <c r="T59" s="13">
        <v>17</v>
      </c>
      <c r="U59" s="14">
        <v>20</v>
      </c>
      <c r="V59" s="14">
        <v>26</v>
      </c>
      <c r="W59" s="15">
        <v>14</v>
      </c>
    </row>
    <row r="60" spans="1:23" ht="13.5" x14ac:dyDescent="0.2">
      <c r="A60" s="4" t="s">
        <v>102</v>
      </c>
      <c r="B60" s="5" t="s">
        <v>103</v>
      </c>
      <c r="C60" s="16">
        <v>3</v>
      </c>
      <c r="D60" s="17">
        <v>0</v>
      </c>
      <c r="E60" s="17">
        <v>0</v>
      </c>
      <c r="F60" s="17">
        <v>0</v>
      </c>
      <c r="G60" s="17">
        <v>0</v>
      </c>
      <c r="H60" s="17">
        <v>1</v>
      </c>
      <c r="I60" s="17">
        <v>1</v>
      </c>
      <c r="J60" s="17">
        <v>1</v>
      </c>
      <c r="K60" s="17">
        <v>4</v>
      </c>
      <c r="L60" s="17">
        <v>0</v>
      </c>
      <c r="M60" s="17">
        <v>1</v>
      </c>
      <c r="N60" s="17">
        <v>0</v>
      </c>
      <c r="O60" s="17">
        <v>0</v>
      </c>
      <c r="P60" s="17">
        <v>0</v>
      </c>
      <c r="Q60" s="17">
        <v>0</v>
      </c>
      <c r="R60" s="17">
        <v>35</v>
      </c>
      <c r="S60" s="17">
        <v>45</v>
      </c>
      <c r="T60" s="17">
        <v>52</v>
      </c>
      <c r="U60" s="18">
        <v>46</v>
      </c>
      <c r="V60" s="18">
        <v>50</v>
      </c>
      <c r="W60" s="19">
        <v>70</v>
      </c>
    </row>
    <row r="61" spans="1:23" ht="13.5" x14ac:dyDescent="0.2">
      <c r="A61" s="10" t="s">
        <v>104</v>
      </c>
      <c r="B61" s="11" t="s">
        <v>105</v>
      </c>
      <c r="C61" s="12">
        <f>18+32</f>
        <v>50</v>
      </c>
      <c r="D61" s="13">
        <v>0</v>
      </c>
      <c r="E61" s="13">
        <f>45+9</f>
        <v>54</v>
      </c>
      <c r="F61" s="13">
        <v>51</v>
      </c>
      <c r="G61" s="13">
        <v>51</v>
      </c>
      <c r="H61" s="13">
        <v>44</v>
      </c>
      <c r="I61" s="13">
        <v>34</v>
      </c>
      <c r="J61" s="20">
        <v>25</v>
      </c>
      <c r="K61" s="20">
        <v>24</v>
      </c>
      <c r="L61" s="20">
        <v>16</v>
      </c>
      <c r="M61" s="20">
        <v>9</v>
      </c>
      <c r="N61" s="20">
        <v>4</v>
      </c>
      <c r="O61" s="20">
        <v>10</v>
      </c>
      <c r="P61" s="20">
        <v>2</v>
      </c>
      <c r="Q61" s="13">
        <v>2</v>
      </c>
      <c r="R61" s="13">
        <v>5</v>
      </c>
      <c r="S61" s="13">
        <v>5</v>
      </c>
      <c r="T61" s="13">
        <v>5</v>
      </c>
      <c r="U61" s="14">
        <v>10</v>
      </c>
      <c r="V61" s="14">
        <v>5</v>
      </c>
      <c r="W61" s="15">
        <v>8</v>
      </c>
    </row>
    <row r="62" spans="1:23" ht="13.5" x14ac:dyDescent="0.2">
      <c r="A62" s="4" t="s">
        <v>106</v>
      </c>
      <c r="B62" s="5" t="s">
        <v>107</v>
      </c>
      <c r="C62" s="16">
        <v>0</v>
      </c>
      <c r="D62" s="17">
        <f>1+41</f>
        <v>42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10</v>
      </c>
      <c r="O62" s="17">
        <v>0</v>
      </c>
      <c r="P62" s="17">
        <v>0</v>
      </c>
      <c r="Q62" s="17">
        <v>10</v>
      </c>
      <c r="R62" s="17">
        <v>10</v>
      </c>
      <c r="S62" s="17">
        <v>0</v>
      </c>
      <c r="T62" s="17">
        <v>0</v>
      </c>
      <c r="U62" s="18">
        <v>0</v>
      </c>
      <c r="V62" s="18">
        <v>0</v>
      </c>
      <c r="W62" s="19">
        <v>4</v>
      </c>
    </row>
    <row r="63" spans="1:23" ht="13.5" x14ac:dyDescent="0.2">
      <c r="A63" s="10" t="s">
        <v>108</v>
      </c>
      <c r="B63" s="11" t="s">
        <v>109</v>
      </c>
      <c r="C63" s="12">
        <v>12</v>
      </c>
      <c r="D63" s="13">
        <v>0</v>
      </c>
      <c r="E63" s="13">
        <v>9</v>
      </c>
      <c r="F63" s="13">
        <v>6</v>
      </c>
      <c r="G63" s="13">
        <v>5</v>
      </c>
      <c r="H63" s="13">
        <v>5</v>
      </c>
      <c r="I63" s="13">
        <v>2</v>
      </c>
      <c r="J63" s="20">
        <v>15</v>
      </c>
      <c r="K63" s="20">
        <v>18</v>
      </c>
      <c r="L63" s="20">
        <v>14</v>
      </c>
      <c r="M63" s="20">
        <v>34</v>
      </c>
      <c r="N63" s="20">
        <v>36</v>
      </c>
      <c r="O63" s="20">
        <v>47</v>
      </c>
      <c r="P63" s="20">
        <v>44</v>
      </c>
      <c r="Q63" s="13">
        <v>38</v>
      </c>
      <c r="R63" s="13">
        <v>44</v>
      </c>
      <c r="S63" s="13">
        <v>36</v>
      </c>
      <c r="T63" s="13">
        <v>36</v>
      </c>
      <c r="U63" s="14">
        <v>34</v>
      </c>
      <c r="V63" s="14">
        <v>27</v>
      </c>
      <c r="W63" s="15">
        <v>26</v>
      </c>
    </row>
    <row r="64" spans="1:23" ht="13.5" x14ac:dyDescent="0.2">
      <c r="A64" s="4" t="s">
        <v>110</v>
      </c>
      <c r="B64" s="5" t="s">
        <v>111</v>
      </c>
      <c r="C64" s="16">
        <v>3</v>
      </c>
      <c r="D64" s="17">
        <v>3</v>
      </c>
      <c r="E64" s="17">
        <v>6</v>
      </c>
      <c r="F64" s="17">
        <v>10</v>
      </c>
      <c r="G64" s="17">
        <v>73</v>
      </c>
      <c r="H64" s="17">
        <v>10</v>
      </c>
      <c r="I64" s="17">
        <v>12</v>
      </c>
      <c r="J64" s="17">
        <v>5</v>
      </c>
      <c r="K64" s="17">
        <v>6</v>
      </c>
      <c r="L64" s="17">
        <v>6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8">
        <v>0</v>
      </c>
      <c r="V64" s="18">
        <v>0</v>
      </c>
      <c r="W64" s="19">
        <v>0</v>
      </c>
    </row>
    <row r="65" spans="1:23" ht="13.5" x14ac:dyDescent="0.2">
      <c r="A65" s="10" t="s">
        <v>112</v>
      </c>
      <c r="B65" s="11" t="s">
        <v>113</v>
      </c>
      <c r="C65" s="12">
        <v>30</v>
      </c>
      <c r="D65" s="13">
        <f>7+13</f>
        <v>20</v>
      </c>
      <c r="E65" s="13">
        <f>9+9+18+1</f>
        <v>37</v>
      </c>
      <c r="F65" s="13">
        <v>23</v>
      </c>
      <c r="G65" s="13">
        <v>27</v>
      </c>
      <c r="H65" s="13">
        <v>20</v>
      </c>
      <c r="I65" s="13">
        <v>23</v>
      </c>
      <c r="J65" s="20">
        <v>22</v>
      </c>
      <c r="K65" s="20">
        <v>30</v>
      </c>
      <c r="L65" s="20">
        <v>28</v>
      </c>
      <c r="M65" s="20">
        <v>21</v>
      </c>
      <c r="N65" s="20">
        <v>39</v>
      </c>
      <c r="O65" s="20">
        <v>40</v>
      </c>
      <c r="P65" s="20">
        <v>55</v>
      </c>
      <c r="Q65" s="13">
        <v>37</v>
      </c>
      <c r="R65" s="13">
        <v>29</v>
      </c>
      <c r="S65" s="13">
        <v>45</v>
      </c>
      <c r="T65" s="13">
        <v>86</v>
      </c>
      <c r="U65" s="14">
        <v>78</v>
      </c>
      <c r="V65" s="14">
        <v>22</v>
      </c>
      <c r="W65" s="15">
        <v>11</v>
      </c>
    </row>
    <row r="66" spans="1:23" ht="13.5" x14ac:dyDescent="0.2">
      <c r="A66" s="4" t="s">
        <v>114</v>
      </c>
      <c r="B66" s="5" t="s">
        <v>115</v>
      </c>
      <c r="C66" s="16">
        <f>19+57</f>
        <v>76</v>
      </c>
      <c r="D66" s="17">
        <f>14+55</f>
        <v>69</v>
      </c>
      <c r="E66" s="17">
        <v>83</v>
      </c>
      <c r="F66" s="17">
        <v>106</v>
      </c>
      <c r="G66" s="17">
        <v>124</v>
      </c>
      <c r="H66" s="17">
        <v>54</v>
      </c>
      <c r="I66" s="17">
        <v>48</v>
      </c>
      <c r="J66" s="17">
        <v>55</v>
      </c>
      <c r="K66" s="17">
        <v>54</v>
      </c>
      <c r="L66" s="17">
        <v>54</v>
      </c>
      <c r="M66" s="17">
        <v>31</v>
      </c>
      <c r="N66" s="17">
        <v>32</v>
      </c>
      <c r="O66" s="17">
        <v>115</v>
      </c>
      <c r="P66" s="17">
        <v>121</v>
      </c>
      <c r="Q66" s="17">
        <v>45</v>
      </c>
      <c r="R66" s="17">
        <v>35</v>
      </c>
      <c r="S66" s="17">
        <v>51</v>
      </c>
      <c r="T66" s="17">
        <v>48</v>
      </c>
      <c r="U66" s="18">
        <v>57</v>
      </c>
      <c r="V66" s="18">
        <v>58</v>
      </c>
      <c r="W66" s="19">
        <v>57</v>
      </c>
    </row>
    <row r="67" spans="1:23" ht="13.5" x14ac:dyDescent="0.2">
      <c r="A67" s="10" t="s">
        <v>116</v>
      </c>
      <c r="B67" s="11" t="s">
        <v>117</v>
      </c>
      <c r="C67" s="12">
        <v>240</v>
      </c>
      <c r="D67" s="13">
        <f>130+70+3+1</f>
        <v>204</v>
      </c>
      <c r="E67" s="13">
        <f>172+91+11+54</f>
        <v>328</v>
      </c>
      <c r="F67" s="13">
        <v>0</v>
      </c>
      <c r="G67" s="13">
        <v>0</v>
      </c>
      <c r="H67" s="13">
        <v>0</v>
      </c>
      <c r="I67" s="13">
        <v>0</v>
      </c>
      <c r="J67" s="20">
        <v>0</v>
      </c>
      <c r="K67" s="20">
        <v>0</v>
      </c>
      <c r="L67" s="20">
        <v>560</v>
      </c>
      <c r="M67" s="20">
        <v>548</v>
      </c>
      <c r="N67" s="20">
        <v>543</v>
      </c>
      <c r="O67" s="20">
        <v>761</v>
      </c>
      <c r="P67" s="20">
        <v>818</v>
      </c>
      <c r="Q67" s="13">
        <v>816</v>
      </c>
      <c r="R67" s="13">
        <v>815</v>
      </c>
      <c r="S67" s="13">
        <v>794</v>
      </c>
      <c r="T67" s="13">
        <v>786</v>
      </c>
      <c r="U67" s="14">
        <v>748</v>
      </c>
      <c r="V67" s="14">
        <v>737</v>
      </c>
      <c r="W67" s="15">
        <v>734</v>
      </c>
    </row>
    <row r="68" spans="1:23" ht="13.5" x14ac:dyDescent="0.2">
      <c r="A68" s="4"/>
      <c r="B68" s="5" t="s">
        <v>118</v>
      </c>
      <c r="C68" s="16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8">
        <v>0</v>
      </c>
      <c r="V68" s="18">
        <v>0</v>
      </c>
      <c r="W68" s="19">
        <v>0</v>
      </c>
    </row>
    <row r="69" spans="1:23" s="36" customFormat="1" x14ac:dyDescent="0.2">
      <c r="A69" s="46" t="s">
        <v>119</v>
      </c>
      <c r="B69" s="47"/>
      <c r="C69" s="33">
        <f>SUM(C6:C68)</f>
        <v>8900</v>
      </c>
      <c r="D69" s="33">
        <f t="shared" ref="D69:T69" si="0">SUM(D6:D68)</f>
        <v>9205</v>
      </c>
      <c r="E69" s="33">
        <f t="shared" si="0"/>
        <v>9470</v>
      </c>
      <c r="F69" s="33">
        <f t="shared" si="0"/>
        <v>9314</v>
      </c>
      <c r="G69" s="33">
        <f t="shared" si="0"/>
        <v>9477</v>
      </c>
      <c r="H69" s="33">
        <f t="shared" si="0"/>
        <v>9493</v>
      </c>
      <c r="I69" s="33">
        <f t="shared" si="0"/>
        <v>9205</v>
      </c>
      <c r="J69" s="33">
        <f t="shared" si="0"/>
        <v>9853</v>
      </c>
      <c r="K69" s="33">
        <f t="shared" si="0"/>
        <v>10418</v>
      </c>
      <c r="L69" s="33">
        <f t="shared" si="0"/>
        <v>12271</v>
      </c>
      <c r="M69" s="33">
        <f t="shared" si="0"/>
        <v>13478</v>
      </c>
      <c r="N69" s="33">
        <f t="shared" si="0"/>
        <v>10107</v>
      </c>
      <c r="O69" s="33">
        <f t="shared" si="0"/>
        <v>12931</v>
      </c>
      <c r="P69" s="33">
        <f t="shared" si="0"/>
        <v>13047</v>
      </c>
      <c r="Q69" s="33">
        <f t="shared" si="0"/>
        <v>16800</v>
      </c>
      <c r="R69" s="33">
        <f t="shared" si="0"/>
        <v>15117</v>
      </c>
      <c r="S69" s="33">
        <f t="shared" si="0"/>
        <v>13550</v>
      </c>
      <c r="T69" s="33">
        <f t="shared" si="0"/>
        <v>16319</v>
      </c>
      <c r="U69" s="33">
        <f>SUM(U6:U68)</f>
        <v>17890</v>
      </c>
      <c r="V69" s="34">
        <f>SUM(V6:V68)</f>
        <v>15618</v>
      </c>
      <c r="W69" s="35">
        <v>13690</v>
      </c>
    </row>
    <row r="70" spans="1:23" x14ac:dyDescent="0.2">
      <c r="C70" s="37"/>
      <c r="D70" s="37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</row>
    <row r="71" spans="1:23" ht="13.5" x14ac:dyDescent="0.25">
      <c r="A71" s="39" t="s">
        <v>120</v>
      </c>
      <c r="B71" s="40"/>
      <c r="C71" s="41"/>
      <c r="D71" s="37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</row>
    <row r="72" spans="1:23" x14ac:dyDescent="0.2">
      <c r="C72" s="37"/>
      <c r="D72" s="37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</row>
    <row r="73" spans="1:23" x14ac:dyDescent="0.2">
      <c r="C73" s="37"/>
      <c r="D73" s="37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</row>
    <row r="74" spans="1:23" x14ac:dyDescent="0.2">
      <c r="C74" s="42"/>
    </row>
  </sheetData>
  <mergeCells count="26">
    <mergeCell ref="A1:B1"/>
    <mergeCell ref="A2:S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U4:U5"/>
    <mergeCell ref="V4:V5"/>
    <mergeCell ref="W4:W5"/>
    <mergeCell ref="A69:B69"/>
    <mergeCell ref="O4:O5"/>
    <mergeCell ref="P4:P5"/>
    <mergeCell ref="Q4:Q5"/>
    <mergeCell ref="R4:R5"/>
    <mergeCell ref="S4:S5"/>
    <mergeCell ref="T4:T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 alignWithMargins="0"/>
  <rowBreaks count="1" manualBreakCount="1">
    <brk id="48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Evolución NFP</vt:lpstr>
      <vt:lpstr>Hoja1</vt:lpstr>
      <vt:lpstr>'Evolución NFP'!Área_de_impresión</vt:lpstr>
      <vt:lpstr>'Evolución NFP'!Títulos_a_imprimir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Corti Arraras</dc:creator>
  <cp:lastModifiedBy>Carolina Bórtoli</cp:lastModifiedBy>
  <dcterms:created xsi:type="dcterms:W3CDTF">2016-06-23T18:07:06Z</dcterms:created>
  <dcterms:modified xsi:type="dcterms:W3CDTF">2020-02-03T18:32:02Z</dcterms:modified>
</cp:coreProperties>
</file>