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BAJOS SND_teletrabajo\2023\ENERO\comprode\"/>
    </mc:Choice>
  </mc:AlternateContent>
  <bookViews>
    <workbookView xWindow="0" yWindow="0" windowWidth="28800" windowHeight="12435" tabRatio="500"/>
  </bookViews>
  <sheets>
    <sheet name="Hoja1" sheetId="1" r:id="rId1"/>
  </sheets>
  <calcPr calcId="152511" iterateDelta="1E-4"/>
</workbook>
</file>

<file path=xl/calcChain.xml><?xml version="1.0" encoding="utf-8"?>
<calcChain xmlns="http://schemas.openxmlformats.org/spreadsheetml/2006/main">
  <c r="I12" i="1" l="1"/>
  <c r="L12" i="1"/>
  <c r="I13" i="1"/>
  <c r="H13" i="1" s="1"/>
  <c r="L13" i="1"/>
  <c r="M13" i="1" s="1"/>
  <c r="H14" i="1"/>
  <c r="L14" i="1"/>
  <c r="M14" i="1"/>
  <c r="H15" i="1"/>
  <c r="L15" i="1"/>
  <c r="M15" i="1" s="1"/>
  <c r="H16" i="1"/>
  <c r="M16" i="1"/>
  <c r="H17" i="1"/>
  <c r="I17" i="1"/>
  <c r="K17" i="1"/>
  <c r="L17" i="1" s="1"/>
  <c r="I18" i="1"/>
  <c r="H18" i="1" s="1"/>
  <c r="L18" i="1"/>
  <c r="H19" i="1"/>
  <c r="K19" i="1"/>
  <c r="L19" i="1" s="1"/>
  <c r="I20" i="1"/>
  <c r="H20" i="1" s="1"/>
  <c r="L20" i="1"/>
  <c r="I21" i="1"/>
  <c r="H21" i="1" s="1"/>
  <c r="J21" i="1"/>
  <c r="K21" i="1"/>
  <c r="L21" i="1"/>
  <c r="M21" i="1"/>
  <c r="I22" i="1"/>
  <c r="H22" i="1" s="1"/>
  <c r="L22" i="1"/>
  <c r="M22" i="1"/>
  <c r="I23" i="1"/>
  <c r="H23" i="1" s="1"/>
  <c r="K23" i="1"/>
  <c r="L23" i="1"/>
  <c r="H24" i="1"/>
  <c r="J24" i="1"/>
  <c r="K24" i="1"/>
  <c r="M24" i="1" s="1"/>
  <c r="L24" i="1"/>
  <c r="I25" i="1"/>
  <c r="H25" i="1" s="1"/>
  <c r="K25" i="1"/>
  <c r="L25" i="1" s="1"/>
  <c r="I26" i="1"/>
  <c r="H26" i="1" s="1"/>
  <c r="J26" i="1"/>
  <c r="L26" i="1" s="1"/>
  <c r="I27" i="1"/>
  <c r="H27" i="1" s="1"/>
  <c r="L27" i="1"/>
  <c r="H28" i="1"/>
  <c r="L28" i="1"/>
  <c r="M28" i="1"/>
  <c r="H29" i="1"/>
  <c r="M29" i="1"/>
  <c r="H30" i="1"/>
  <c r="M30" i="1"/>
  <c r="H31" i="1"/>
  <c r="K31" i="1"/>
  <c r="L31" i="1" s="1"/>
  <c r="M31" i="1" s="1"/>
  <c r="H32" i="1"/>
  <c r="L32" i="1"/>
  <c r="M32" i="1" s="1"/>
  <c r="H33" i="1"/>
  <c r="K33" i="1"/>
  <c r="L33" i="1" s="1"/>
  <c r="I34" i="1"/>
  <c r="H34" i="1" s="1"/>
  <c r="K34" i="1"/>
  <c r="L34" i="1" s="1"/>
  <c r="M34" i="1" s="1"/>
  <c r="H35" i="1"/>
  <c r="K35" i="1"/>
  <c r="L35" i="1" s="1"/>
  <c r="M35" i="1" s="1"/>
  <c r="H36" i="1"/>
  <c r="I36" i="1"/>
  <c r="K36" i="1"/>
  <c r="L36" i="1"/>
  <c r="M36" i="1"/>
  <c r="H37" i="1"/>
  <c r="I37" i="1"/>
  <c r="K37" i="1"/>
  <c r="M37" i="1" s="1"/>
  <c r="L37" i="1"/>
  <c r="I38" i="1"/>
  <c r="H38" i="1" s="1"/>
  <c r="K38" i="1"/>
  <c r="L38" i="1" s="1"/>
  <c r="I39" i="1"/>
  <c r="H39" i="1" s="1"/>
  <c r="K39" i="1"/>
  <c r="L39" i="1" s="1"/>
  <c r="M39" i="1" s="1"/>
  <c r="H40" i="1"/>
  <c r="K40" i="1"/>
  <c r="L40" i="1" s="1"/>
  <c r="M40" i="1" s="1"/>
  <c r="H41" i="1"/>
  <c r="K41" i="1"/>
  <c r="L41" i="1" s="1"/>
  <c r="M41" i="1" s="1"/>
  <c r="H42" i="1"/>
  <c r="K42" i="1"/>
  <c r="L42" i="1" s="1"/>
  <c r="M42" i="1" s="1"/>
  <c r="H43" i="1"/>
  <c r="K43" i="1"/>
  <c r="L43" i="1" s="1"/>
  <c r="M43" i="1" s="1"/>
  <c r="H44" i="1"/>
  <c r="I44" i="1"/>
  <c r="K44" i="1"/>
  <c r="L44" i="1"/>
  <c r="M44" i="1"/>
  <c r="H45" i="1"/>
  <c r="K45" i="1"/>
  <c r="L45" i="1"/>
  <c r="M45" i="1"/>
  <c r="H46" i="1"/>
  <c r="K46" i="1"/>
  <c r="L46" i="1"/>
  <c r="M46" i="1"/>
  <c r="H47" i="1"/>
  <c r="K47" i="1"/>
  <c r="L47" i="1"/>
  <c r="M47" i="1"/>
  <c r="H48" i="1"/>
  <c r="K48" i="1"/>
  <c r="L48" i="1"/>
  <c r="M48" i="1"/>
  <c r="H49" i="1"/>
  <c r="K49" i="1"/>
  <c r="L49" i="1"/>
  <c r="M49" i="1"/>
  <c r="H50" i="1"/>
  <c r="I50" i="1"/>
  <c r="K50" i="1"/>
  <c r="M50" i="1" s="1"/>
  <c r="L50" i="1"/>
  <c r="I51" i="1"/>
  <c r="H51" i="1" s="1"/>
  <c r="K51" i="1"/>
  <c r="L51" i="1" s="1"/>
  <c r="H52" i="1"/>
  <c r="K52" i="1"/>
  <c r="L52" i="1" s="1"/>
  <c r="H53" i="1"/>
  <c r="K53" i="1"/>
  <c r="L53" i="1" s="1"/>
  <c r="I54" i="1"/>
  <c r="H54" i="1" s="1"/>
  <c r="L54" i="1"/>
  <c r="M54" i="1" s="1"/>
  <c r="G55" i="1"/>
  <c r="I55" i="1"/>
  <c r="L55" i="1" l="1"/>
  <c r="K55" i="1"/>
  <c r="M53" i="1"/>
  <c r="M52" i="1"/>
  <c r="M51" i="1"/>
  <c r="M38" i="1"/>
  <c r="M33" i="1"/>
  <c r="M20" i="1"/>
  <c r="M19" i="1"/>
  <c r="M18" i="1"/>
  <c r="M17" i="1"/>
  <c r="J55" i="1"/>
  <c r="M12" i="1"/>
  <c r="M55" i="1" l="1"/>
</calcChain>
</file>

<file path=xl/sharedStrings.xml><?xml version="1.0" encoding="utf-8"?>
<sst xmlns="http://schemas.openxmlformats.org/spreadsheetml/2006/main" count="147" uniqueCount="130">
  <si>
    <t>REGISTRO PÚBLICO DE PRODEPS - AÑO 2022</t>
  </si>
  <si>
    <t>EXPEDIENTE</t>
  </si>
  <si>
    <t>ENTIDAD DEPORTIVA</t>
  </si>
  <si>
    <t>DENOMINADO</t>
  </si>
  <si>
    <t>RESOLUCIÓN P.E.</t>
  </si>
  <si>
    <t>MONTO PROYECTO</t>
  </si>
  <si>
    <t>MONTO IMPONIBLE</t>
  </si>
  <si>
    <t>IVA</t>
  </si>
  <si>
    <t>Aporte  de  Mecenas y Patrocinadores</t>
  </si>
  <si>
    <t>BENEFICIOS MECENAS Y PATROCINADORES</t>
  </si>
  <si>
    <t>TOTAL BENEFICIOS</t>
  </si>
  <si>
    <t>Año</t>
  </si>
  <si>
    <t>Exp. No.</t>
  </si>
  <si>
    <t>FECHA</t>
  </si>
  <si>
    <t>NÚMERO</t>
  </si>
  <si>
    <t>IRAE</t>
  </si>
  <si>
    <t>DEDUCIBLE</t>
  </si>
  <si>
    <t>CAU</t>
  </si>
  <si>
    <t>DEBORAH RODRIGUEZ 2021/2022</t>
  </si>
  <si>
    <t>E/549</t>
  </si>
  <si>
    <t>AUVO</t>
  </si>
  <si>
    <t>Mejora instalación electrica autodromo Victor Borrat Fabini</t>
  </si>
  <si>
    <t>AS 0548</t>
  </si>
  <si>
    <t>FU JUDO</t>
  </si>
  <si>
    <t>APRAHAMIAN</t>
  </si>
  <si>
    <t>AS 0542</t>
  </si>
  <si>
    <t>F. U. Canotaje</t>
  </si>
  <si>
    <t>Lago Calcagno – Cerramiento instalaciones, movimiento de tierras y aplanado de terreno. Mejora de rampas de acceso al agua.</t>
  </si>
  <si>
    <t>AS 0582</t>
  </si>
  <si>
    <t>ONFI</t>
  </si>
  <si>
    <t>MAS QUE FUTBOL – MELO</t>
  </si>
  <si>
    <t>AS 0571</t>
  </si>
  <si>
    <t>Asociacion Uruguaya de Polo</t>
  </si>
  <si>
    <t>Desarrollo Jacksonville Polo - Construcción de Cancha con sistema de riego y adecuación de construcción actual para generar salas de capacitación con baños accesibles</t>
  </si>
  <si>
    <t>AS 0622</t>
  </si>
  <si>
    <t>SALTO POLO CLUB</t>
  </si>
  <si>
    <t>SALTO POLO CLUB CRECE</t>
  </si>
  <si>
    <t>AS 0636</t>
  </si>
  <si>
    <t>NACIONAL DE SALTO</t>
  </si>
  <si>
    <t>CANCHA 35*15</t>
  </si>
  <si>
    <t>AS 0635</t>
  </si>
  <si>
    <t>UNION ATLETICA</t>
  </si>
  <si>
    <t>100 años de la UA – Pozo de agua y refacción de techo de gimnasio</t>
  </si>
  <si>
    <t>AS 0645</t>
  </si>
  <si>
    <t>FUB</t>
  </si>
  <si>
    <t>QUEBRACHO AEROPARQUE</t>
  </si>
  <si>
    <t>AS 0663</t>
  </si>
  <si>
    <t>TERENTI SAD</t>
  </si>
  <si>
    <t>OBRAS EN MONTEVIDEO CITY TORQUE – NIVELACION DE UNA CANCHA</t>
  </si>
  <si>
    <t>AS 0671</t>
  </si>
  <si>
    <t>WANDERERS</t>
  </si>
  <si>
    <t>Formativas MWFC – Cancha Sintético</t>
  </si>
  <si>
    <t>AS 0748</t>
  </si>
  <si>
    <t>FEDERACIÓN URUGUAYA DE KARTING</t>
  </si>
  <si>
    <t>Gonzalo Reilly – TC2000</t>
  </si>
  <si>
    <t>AS 0728</t>
  </si>
  <si>
    <t>UNION DE SURF DEL URUGUAY</t>
  </si>
  <si>
    <t>Desarrollo del surfista profesional IGNACIO PIGNATARO</t>
  </si>
  <si>
    <t>AS 0743</t>
  </si>
  <si>
    <t>Desarrollo del surfista profesional Julian Schweizer</t>
  </si>
  <si>
    <t>AS 0747</t>
  </si>
  <si>
    <t>Asociación Uruguaya de Tenis</t>
  </si>
  <si>
    <t xml:space="preserve">Sacando al Futuro 2022 - </t>
  </si>
  <si>
    <t>AS 0756</t>
  </si>
  <si>
    <t>ENRIQUE MAGLIONE TCR SOUTH AMERICA</t>
  </si>
  <si>
    <t>AS 0752</t>
  </si>
  <si>
    <t>Frederick Balbi en el TCR South América</t>
  </si>
  <si>
    <t>AS 0763</t>
  </si>
  <si>
    <t>JUAN MANUEL CASELLA TCR SOUTH AMERICA</t>
  </si>
  <si>
    <t>AS 0775</t>
  </si>
  <si>
    <t>LUIS HENDERSON EN CAMPEONATO ESPAÑOL RALLY RAID</t>
  </si>
  <si>
    <t>AS 0782</t>
  </si>
  <si>
    <t>DESARROLLO DE TENISTA FACUNDO PAYSSE</t>
  </si>
  <si>
    <t>AS 0793</t>
  </si>
  <si>
    <t>FUDE</t>
  </si>
  <si>
    <t>DESARROLLO DE JUAN SERRA</t>
  </si>
  <si>
    <t>AS 0794</t>
  </si>
  <si>
    <t>Creación de base de datos web de atletas y de gastos del CSI 1* Concurso Internacional de Salto Mayo 2022</t>
  </si>
  <si>
    <t>AS 0795</t>
  </si>
  <si>
    <t>USU</t>
  </si>
  <si>
    <t>GOMEZ FAVOUT</t>
  </si>
  <si>
    <t>AS 0803</t>
  </si>
  <si>
    <t>CSyD ANASTASIA</t>
  </si>
  <si>
    <t>CREADOR DE SUEÑOS 2021-2025 FASE I</t>
  </si>
  <si>
    <t>AS 0800</t>
  </si>
  <si>
    <t>Entrenador de disciplina salto - Roberto Tagle</t>
  </si>
  <si>
    <t>AS 0817</t>
  </si>
  <si>
    <t>AUG</t>
  </si>
  <si>
    <r>
      <rPr>
        <b/>
        <sz val="11"/>
        <color indexed="8"/>
        <rFont val="Calibri"/>
        <family val="2"/>
      </rPr>
      <t xml:space="preserve">PEG </t>
    </r>
    <r>
      <rPr>
        <b/>
        <sz val="12"/>
        <color indexed="8"/>
        <rFont val="Calibri"/>
        <family val="2"/>
      </rPr>
      <t>Mejoramiento de los programas de entrenamiento y accesibilidad al golf</t>
    </r>
  </si>
  <si>
    <t>AS 0819</t>
  </si>
  <si>
    <t>FUBB</t>
  </si>
  <si>
    <t>FUBB CRECE</t>
  </si>
  <si>
    <t>AS 0816</t>
  </si>
  <si>
    <t>FEDERACIÓN URUGUAYA DE JUDO</t>
  </si>
  <si>
    <t>CLASIFICACION Y PREPARACION JJ SUDAMERICANOS 22 Y JJ PANAMERICANOS 23 A TRAVES DE COMPETENCIAS EN EL EXTERIOR</t>
  </si>
  <si>
    <t>E/815</t>
  </si>
  <si>
    <t>MONTEVIDEO CRICKET CLUB</t>
  </si>
  <si>
    <t>MONTEVIDEO CRICKET CLUB CRECE</t>
  </si>
  <si>
    <t>AS 0818</t>
  </si>
  <si>
    <t>ANDRES MARIEYHARA IBERICA CUP DE RALLY</t>
  </si>
  <si>
    <t>E/839</t>
  </si>
  <si>
    <t>FUK</t>
  </si>
  <si>
    <t>MAITE CACERES AUTOMOVILISMO ESTADOS UNIDOS</t>
  </si>
  <si>
    <t>AS 0876</t>
  </si>
  <si>
    <t>PROYECTO NIÑOS 2022</t>
  </si>
  <si>
    <t>AS 0855</t>
  </si>
  <si>
    <t>LUPE VALENTE</t>
  </si>
  <si>
    <t>AS 0854</t>
  </si>
  <si>
    <t>CECILIA MORALES</t>
  </si>
  <si>
    <t>AS 0853</t>
  </si>
  <si>
    <t>CLUB COLON BBC</t>
  </si>
  <si>
    <t>AS 0856</t>
  </si>
  <si>
    <r>
      <rPr>
        <b/>
        <sz val="11"/>
        <color indexed="8"/>
        <rFont val="Calibri"/>
        <family val="2"/>
        <charset val="1"/>
      </rPr>
      <t xml:space="preserve">Desarrollo del surfista profesional </t>
    </r>
    <r>
      <rPr>
        <b/>
        <sz val="12"/>
        <color indexed="8"/>
        <rFont val="Calibri"/>
        <family val="2"/>
        <charset val="1"/>
      </rPr>
      <t>LUCAS MADRID</t>
    </r>
  </si>
  <si>
    <t>E/884</t>
  </si>
  <si>
    <t>ZEBALLOS/GONZALEZ SUPER RALLY ESPAÑOL</t>
  </si>
  <si>
    <t>E/882</t>
  </si>
  <si>
    <t>PLAN ESTRATÉGICO LIGA DE BASQUETBOL DE PAYSANDU 2020-2025</t>
  </si>
  <si>
    <t>E/874</t>
  </si>
  <si>
    <t>C.D. ALBATROS</t>
  </si>
  <si>
    <t>MAS QUE UN CLUB UNA FAMILIA</t>
  </si>
  <si>
    <t>E/886</t>
  </si>
  <si>
    <t>RODRIGO ARAMENDIA POR LE TITULO DE CAMPEON DE TC 2000 SERIE 2022</t>
  </si>
  <si>
    <t>AS 0889</t>
  </si>
  <si>
    <t>FUJ</t>
  </si>
  <si>
    <t>GAMOU CLASIFICACION Y PREPARACION JJSS 2022 JJPP 2022</t>
  </si>
  <si>
    <t>E/894</t>
  </si>
  <si>
    <t>C.A. STOCKOLMO</t>
  </si>
  <si>
    <t>EL PRADO CRECE CON STOCKOLMO</t>
  </si>
  <si>
    <t>E/895</t>
  </si>
  <si>
    <t>Planilla confeccionada en cumplimiento del artículo 17 del Decreto 308/015 para 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</si>
</sst>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0"/>
      <name val="Arial"/>
      <family val="2"/>
    </font>
    <font>
      <sz val="36"/>
      <color indexed="8"/>
      <name val="Arial"/>
      <charset val="1"/>
    </font>
    <font>
      <b/>
      <sz val="15"/>
      <name val="Arial"/>
      <family val="2"/>
      <charset val="1"/>
    </font>
    <font>
      <b/>
      <sz val="15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4"/>
      <color indexed="8"/>
      <name val="Arial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6"/>
      <name val="Arial"/>
      <family val="2"/>
    </font>
    <font>
      <b/>
      <sz val="15"/>
      <color indexed="8"/>
      <name val="Arial"/>
    </font>
    <font>
      <b/>
      <sz val="1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44"/>
        <bgColor indexed="2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3" fontId="3" fillId="3" borderId="11" xfId="0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3" borderId="9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4" fontId="1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5B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468923</xdr:colOff>
      <xdr:row>1</xdr:row>
      <xdr:rowOff>81329</xdr:rowOff>
    </xdr:from>
    <xdr:to>
      <xdr:col>5</xdr:col>
      <xdr:colOff>1055077</xdr:colOff>
      <xdr:row>6</xdr:row>
      <xdr:rowOff>90854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731" y="242521"/>
          <a:ext cx="2007577" cy="8154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3"/>
  <sheetViews>
    <sheetView tabSelected="1" zoomScale="65" zoomScaleNormal="65" workbookViewId="0"/>
  </sheetViews>
  <sheetFormatPr baseColWidth="10" defaultColWidth="11.28515625" defaultRowHeight="12.75" x14ac:dyDescent="0.2"/>
  <cols>
    <col min="3" max="3" width="19.85546875" customWidth="1"/>
    <col min="4" max="4" width="41" customWidth="1"/>
    <col min="5" max="6" width="21.28515625" style="1" customWidth="1"/>
    <col min="7" max="7" width="19.7109375" customWidth="1"/>
    <col min="8" max="8" width="17.85546875" customWidth="1"/>
    <col min="9" max="9" width="18.7109375" customWidth="1"/>
    <col min="10" max="10" width="24.140625" customWidth="1"/>
    <col min="11" max="11" width="18.140625" customWidth="1"/>
    <col min="12" max="12" width="21.28515625" customWidth="1"/>
    <col min="13" max="13" width="29.140625" customWidth="1"/>
    <col min="14" max="15" width="21.28515625" customWidth="1"/>
    <col min="19" max="19" width="25.28515625" customWidth="1"/>
  </cols>
  <sheetData>
    <row r="9" spans="1:18" ht="44.25" x14ac:dyDescent="0.2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8" ht="45.95" customHeight="1" x14ac:dyDescent="0.2">
      <c r="A10" s="32" t="s">
        <v>1</v>
      </c>
      <c r="B10" s="32"/>
      <c r="C10" s="33" t="s">
        <v>2</v>
      </c>
      <c r="D10" s="33" t="s">
        <v>3</v>
      </c>
      <c r="E10" s="34" t="s">
        <v>4</v>
      </c>
      <c r="F10" s="34"/>
      <c r="G10" s="33" t="s">
        <v>5</v>
      </c>
      <c r="H10" s="33" t="s">
        <v>6</v>
      </c>
      <c r="I10" s="33" t="s">
        <v>7</v>
      </c>
      <c r="J10" s="35" t="s">
        <v>8</v>
      </c>
      <c r="K10" s="36" t="s">
        <v>9</v>
      </c>
      <c r="L10" s="36"/>
      <c r="M10" s="37" t="s">
        <v>10</v>
      </c>
    </row>
    <row r="11" spans="1:18" s="8" customFormat="1" ht="83.25" customHeight="1" x14ac:dyDescent="0.2">
      <c r="A11" s="2" t="s">
        <v>11</v>
      </c>
      <c r="B11" s="3" t="s">
        <v>12</v>
      </c>
      <c r="C11" s="33"/>
      <c r="D11" s="33"/>
      <c r="E11" s="4" t="s">
        <v>13</v>
      </c>
      <c r="F11" s="5" t="s">
        <v>14</v>
      </c>
      <c r="G11" s="33"/>
      <c r="H11" s="33"/>
      <c r="I11" s="33"/>
      <c r="J11" s="35"/>
      <c r="K11" s="6" t="s">
        <v>15</v>
      </c>
      <c r="L11" s="7" t="s">
        <v>16</v>
      </c>
      <c r="M11" s="37"/>
      <c r="N11"/>
      <c r="O11"/>
    </row>
    <row r="12" spans="1:18" ht="18" x14ac:dyDescent="0.2">
      <c r="A12" s="9">
        <v>2021</v>
      </c>
      <c r="B12" s="10">
        <v>811</v>
      </c>
      <c r="C12" s="11" t="s">
        <v>17</v>
      </c>
      <c r="D12" s="12" t="s">
        <v>18</v>
      </c>
      <c r="E12" s="13">
        <v>44565</v>
      </c>
      <c r="F12" s="14" t="s">
        <v>19</v>
      </c>
      <c r="G12" s="15">
        <v>435770</v>
      </c>
      <c r="H12" s="15">
        <v>435770</v>
      </c>
      <c r="I12" s="15">
        <f>435770*0.22</f>
        <v>95869.4</v>
      </c>
      <c r="J12" s="16">
        <v>435770</v>
      </c>
      <c r="K12" s="15">
        <v>326828</v>
      </c>
      <c r="L12" s="17">
        <f>108942*0.25</f>
        <v>27235.5</v>
      </c>
      <c r="M12" s="18">
        <f t="shared" ref="M12:M22" si="0">K12+L12+I12</f>
        <v>449932.9</v>
      </c>
      <c r="R12" s="19"/>
    </row>
    <row r="13" spans="1:18" ht="31.5" x14ac:dyDescent="0.2">
      <c r="A13" s="9">
        <v>2021</v>
      </c>
      <c r="B13" s="10">
        <v>503</v>
      </c>
      <c r="C13" s="11" t="s">
        <v>20</v>
      </c>
      <c r="D13" s="12" t="s">
        <v>21</v>
      </c>
      <c r="E13" s="13">
        <v>44606</v>
      </c>
      <c r="F13" s="14" t="s">
        <v>22</v>
      </c>
      <c r="G13" s="15">
        <v>963600</v>
      </c>
      <c r="H13" s="15">
        <f t="shared" ref="H13:H54" si="1">I13*100/22</f>
        <v>963600</v>
      </c>
      <c r="I13" s="15">
        <f>963600*0.22</f>
        <v>211992</v>
      </c>
      <c r="J13" s="16">
        <v>450000</v>
      </c>
      <c r="K13" s="15">
        <v>337500</v>
      </c>
      <c r="L13" s="17">
        <f>112500*0.25</f>
        <v>28125</v>
      </c>
      <c r="M13" s="18">
        <f t="shared" si="0"/>
        <v>577617</v>
      </c>
      <c r="R13" s="19"/>
    </row>
    <row r="14" spans="1:18" ht="18" x14ac:dyDescent="0.2">
      <c r="A14" s="9">
        <v>2021</v>
      </c>
      <c r="B14" s="10">
        <v>802</v>
      </c>
      <c r="C14" s="11" t="s">
        <v>23</v>
      </c>
      <c r="D14" s="12" t="s">
        <v>24</v>
      </c>
      <c r="E14" s="13">
        <v>44617</v>
      </c>
      <c r="F14" s="14" t="s">
        <v>25</v>
      </c>
      <c r="G14" s="15">
        <v>890000</v>
      </c>
      <c r="H14" s="15">
        <f t="shared" si="1"/>
        <v>0</v>
      </c>
      <c r="I14" s="15">
        <v>0</v>
      </c>
      <c r="J14" s="16">
        <v>890000</v>
      </c>
      <c r="K14" s="15">
        <v>667500</v>
      </c>
      <c r="L14" s="17">
        <f>222500*0.25</f>
        <v>55625</v>
      </c>
      <c r="M14" s="18">
        <f t="shared" si="0"/>
        <v>723125</v>
      </c>
      <c r="R14" s="19"/>
    </row>
    <row r="15" spans="1:18" ht="63" x14ac:dyDescent="0.2">
      <c r="A15" s="9">
        <v>2020</v>
      </c>
      <c r="B15" s="10">
        <v>761</v>
      </c>
      <c r="C15" s="11" t="s">
        <v>26</v>
      </c>
      <c r="D15" s="12" t="s">
        <v>27</v>
      </c>
      <c r="E15" s="13">
        <v>44623</v>
      </c>
      <c r="F15" s="14" t="s">
        <v>28</v>
      </c>
      <c r="G15" s="15">
        <v>203000</v>
      </c>
      <c r="H15" s="15">
        <f t="shared" si="1"/>
        <v>0</v>
      </c>
      <c r="I15" s="15">
        <v>0</v>
      </c>
      <c r="J15" s="16">
        <v>203000</v>
      </c>
      <c r="K15" s="15">
        <v>152250</v>
      </c>
      <c r="L15" s="17">
        <f>(J15-K15)*0.25</f>
        <v>12687.5</v>
      </c>
      <c r="M15" s="18">
        <f t="shared" si="0"/>
        <v>164937.5</v>
      </c>
      <c r="R15" s="19"/>
    </row>
    <row r="16" spans="1:18" ht="18" x14ac:dyDescent="0.2">
      <c r="A16" s="9">
        <v>2021</v>
      </c>
      <c r="B16" s="10">
        <v>918</v>
      </c>
      <c r="C16" s="11" t="s">
        <v>29</v>
      </c>
      <c r="D16" s="12" t="s">
        <v>30</v>
      </c>
      <c r="E16" s="13">
        <v>44629</v>
      </c>
      <c r="F16" s="14" t="s">
        <v>31</v>
      </c>
      <c r="G16" s="15">
        <v>2846090</v>
      </c>
      <c r="H16" s="15">
        <f t="shared" si="1"/>
        <v>2846090.0000000005</v>
      </c>
      <c r="I16" s="15">
        <v>626139.80000000005</v>
      </c>
      <c r="J16" s="16">
        <v>2846090</v>
      </c>
      <c r="K16" s="15">
        <v>2134567.5</v>
      </c>
      <c r="L16" s="17">
        <v>177880.625</v>
      </c>
      <c r="M16" s="18">
        <f t="shared" si="0"/>
        <v>2938587.9249999998</v>
      </c>
      <c r="R16" s="19"/>
    </row>
    <row r="17" spans="1:18" ht="94.5" x14ac:dyDescent="0.2">
      <c r="A17" s="9">
        <v>2021</v>
      </c>
      <c r="B17" s="10">
        <v>243</v>
      </c>
      <c r="C17" s="11" t="s">
        <v>32</v>
      </c>
      <c r="D17" s="12" t="s">
        <v>33</v>
      </c>
      <c r="E17" s="13">
        <v>44662</v>
      </c>
      <c r="F17" s="14" t="s">
        <v>34</v>
      </c>
      <c r="G17" s="15">
        <v>8566000</v>
      </c>
      <c r="H17" s="15">
        <f t="shared" si="1"/>
        <v>7586000</v>
      </c>
      <c r="I17" s="15">
        <f>7586000*0.22</f>
        <v>1668920</v>
      </c>
      <c r="J17" s="16">
        <v>8566000</v>
      </c>
      <c r="K17" s="15">
        <f>J17*0.75</f>
        <v>6424500</v>
      </c>
      <c r="L17" s="17">
        <f>(J17-K17)*0.25</f>
        <v>535375</v>
      </c>
      <c r="M17" s="18">
        <f t="shared" si="0"/>
        <v>8628795</v>
      </c>
      <c r="R17" s="19"/>
    </row>
    <row r="18" spans="1:18" ht="31.5" x14ac:dyDescent="0.2">
      <c r="A18" s="9">
        <v>2021</v>
      </c>
      <c r="B18" s="10">
        <v>685</v>
      </c>
      <c r="C18" s="12" t="s">
        <v>35</v>
      </c>
      <c r="D18" s="12" t="s">
        <v>36</v>
      </c>
      <c r="E18" s="13">
        <v>44662</v>
      </c>
      <c r="F18" s="14" t="s">
        <v>37</v>
      </c>
      <c r="G18" s="15">
        <v>5352156</v>
      </c>
      <c r="H18" s="15">
        <f t="shared" si="1"/>
        <v>5352156</v>
      </c>
      <c r="I18" s="15">
        <f>5352156*0.22</f>
        <v>1177474.32</v>
      </c>
      <c r="J18" s="16">
        <v>5352156</v>
      </c>
      <c r="K18" s="15">
        <v>4014117</v>
      </c>
      <c r="L18" s="17">
        <f>1338039*0.25</f>
        <v>334509.75</v>
      </c>
      <c r="M18" s="18">
        <f t="shared" si="0"/>
        <v>5526101.0700000003</v>
      </c>
      <c r="R18" s="19"/>
    </row>
    <row r="19" spans="1:18" ht="31.5" x14ac:dyDescent="0.2">
      <c r="A19" s="9">
        <v>2021</v>
      </c>
      <c r="B19" s="10">
        <v>861</v>
      </c>
      <c r="C19" s="11" t="s">
        <v>38</v>
      </c>
      <c r="D19" s="12" t="s">
        <v>39</v>
      </c>
      <c r="E19" s="13">
        <v>44662</v>
      </c>
      <c r="F19" s="14" t="s">
        <v>40</v>
      </c>
      <c r="G19" s="15">
        <v>757154</v>
      </c>
      <c r="H19" s="15">
        <f t="shared" si="1"/>
        <v>757154.54545454541</v>
      </c>
      <c r="I19" s="15">
        <v>166574</v>
      </c>
      <c r="J19" s="16">
        <v>757154</v>
      </c>
      <c r="K19" s="15">
        <f>J19*0.75</f>
        <v>567865.5</v>
      </c>
      <c r="L19" s="17">
        <f>(J19-K19)*0.25</f>
        <v>47322.125</v>
      </c>
      <c r="M19" s="18">
        <f t="shared" si="0"/>
        <v>781761.625</v>
      </c>
      <c r="R19" s="19"/>
    </row>
    <row r="20" spans="1:18" ht="31.5" x14ac:dyDescent="0.2">
      <c r="A20" s="9">
        <v>2021</v>
      </c>
      <c r="B20" s="10">
        <v>605</v>
      </c>
      <c r="C20" s="12" t="s">
        <v>41</v>
      </c>
      <c r="D20" s="12" t="s">
        <v>42</v>
      </c>
      <c r="E20" s="13">
        <v>44677</v>
      </c>
      <c r="F20" s="14" t="s">
        <v>43</v>
      </c>
      <c r="G20" s="15">
        <v>1100000</v>
      </c>
      <c r="H20" s="15">
        <f t="shared" si="1"/>
        <v>1100000</v>
      </c>
      <c r="I20" s="15">
        <f>1100000*0.22</f>
        <v>242000</v>
      </c>
      <c r="J20" s="16">
        <v>1100000</v>
      </c>
      <c r="K20" s="15">
        <v>825000</v>
      </c>
      <c r="L20" s="17">
        <f>275000*0.25</f>
        <v>68750</v>
      </c>
      <c r="M20" s="18">
        <f t="shared" si="0"/>
        <v>1135750</v>
      </c>
      <c r="R20" s="19"/>
    </row>
    <row r="21" spans="1:18" ht="18" x14ac:dyDescent="0.2">
      <c r="A21" s="9">
        <v>2020</v>
      </c>
      <c r="B21" s="10">
        <v>952</v>
      </c>
      <c r="C21" s="12" t="s">
        <v>44</v>
      </c>
      <c r="D21" s="12" t="s">
        <v>45</v>
      </c>
      <c r="E21" s="13">
        <v>44705</v>
      </c>
      <c r="F21" s="14" t="s">
        <v>46</v>
      </c>
      <c r="G21" s="15">
        <v>23231000</v>
      </c>
      <c r="H21" s="15">
        <f t="shared" si="1"/>
        <v>9096148</v>
      </c>
      <c r="I21" s="15">
        <f>9096148*0.22</f>
        <v>2001152.56</v>
      </c>
      <c r="J21" s="16">
        <f>1759040+6679393</f>
        <v>8438433</v>
      </c>
      <c r="K21" s="15">
        <f>703616+4689857</f>
        <v>5393473</v>
      </c>
      <c r="L21" s="17">
        <f>(1055424+1563284)*0.25</f>
        <v>654677</v>
      </c>
      <c r="M21" s="18">
        <f t="shared" si="0"/>
        <v>8049302.5600000005</v>
      </c>
      <c r="R21" s="19"/>
    </row>
    <row r="22" spans="1:18" ht="47.25" x14ac:dyDescent="0.2">
      <c r="A22" s="9">
        <v>2021</v>
      </c>
      <c r="B22" s="10">
        <v>722</v>
      </c>
      <c r="C22" s="12" t="s">
        <v>47</v>
      </c>
      <c r="D22" s="12" t="s">
        <v>48</v>
      </c>
      <c r="E22" s="13">
        <v>44712</v>
      </c>
      <c r="F22" s="14" t="s">
        <v>49</v>
      </c>
      <c r="G22" s="15">
        <v>900000</v>
      </c>
      <c r="H22" s="15">
        <f t="shared" si="1"/>
        <v>900000</v>
      </c>
      <c r="I22" s="15">
        <f>900000*0.22</f>
        <v>198000</v>
      </c>
      <c r="J22" s="16">
        <v>900000</v>
      </c>
      <c r="K22" s="15">
        <v>360000</v>
      </c>
      <c r="L22" s="17">
        <f>540000*0.25</f>
        <v>135000</v>
      </c>
      <c r="M22" s="18">
        <f t="shared" si="0"/>
        <v>693000</v>
      </c>
      <c r="R22" s="19"/>
    </row>
    <row r="23" spans="1:18" ht="31.5" x14ac:dyDescent="0.2">
      <c r="A23" s="9">
        <v>2022</v>
      </c>
      <c r="B23" s="10">
        <v>369</v>
      </c>
      <c r="C23" s="12" t="s">
        <v>50</v>
      </c>
      <c r="D23" s="12" t="s">
        <v>51</v>
      </c>
      <c r="E23" s="13">
        <v>44803</v>
      </c>
      <c r="F23" s="14" t="s">
        <v>52</v>
      </c>
      <c r="G23" s="15">
        <v>17863931</v>
      </c>
      <c r="H23" s="15">
        <f t="shared" si="1"/>
        <v>15909525</v>
      </c>
      <c r="I23" s="15">
        <f>15909525*0.22</f>
        <v>3500095.5</v>
      </c>
      <c r="J23" s="16">
        <v>0</v>
      </c>
      <c r="K23" s="15">
        <f t="shared" ref="K23:K24" si="2">J23*0.75</f>
        <v>0</v>
      </c>
      <c r="L23" s="17">
        <f t="shared" ref="L23:L28" si="3">(J23-K23)*0.25</f>
        <v>0</v>
      </c>
      <c r="M23" s="18">
        <v>3500095.5</v>
      </c>
      <c r="R23" s="19"/>
    </row>
    <row r="24" spans="1:18" ht="47.25" x14ac:dyDescent="0.2">
      <c r="A24" s="9">
        <v>2022</v>
      </c>
      <c r="B24" s="10">
        <v>393</v>
      </c>
      <c r="C24" s="12" t="s">
        <v>53</v>
      </c>
      <c r="D24" s="12" t="s">
        <v>54</v>
      </c>
      <c r="E24" s="13">
        <v>44803</v>
      </c>
      <c r="F24" s="14" t="s">
        <v>55</v>
      </c>
      <c r="G24" s="15">
        <v>6948435</v>
      </c>
      <c r="H24" s="15">
        <f t="shared" si="1"/>
        <v>0</v>
      </c>
      <c r="I24" s="15">
        <v>0</v>
      </c>
      <c r="J24" s="16">
        <f>3300000+147500</f>
        <v>3447500</v>
      </c>
      <c r="K24" s="15">
        <f t="shared" si="2"/>
        <v>2585625</v>
      </c>
      <c r="L24" s="17">
        <f t="shared" si="3"/>
        <v>215468.75</v>
      </c>
      <c r="M24" s="18">
        <f>K24+L24+I24</f>
        <v>2801093.75</v>
      </c>
      <c r="R24" s="19"/>
    </row>
    <row r="25" spans="1:18" ht="31.5" x14ac:dyDescent="0.2">
      <c r="A25" s="9">
        <v>2022</v>
      </c>
      <c r="B25" s="10">
        <v>444</v>
      </c>
      <c r="C25" s="12" t="s">
        <v>56</v>
      </c>
      <c r="D25" s="12" t="s">
        <v>57</v>
      </c>
      <c r="E25" s="13">
        <v>44803</v>
      </c>
      <c r="F25" s="14" t="s">
        <v>58</v>
      </c>
      <c r="G25" s="15">
        <v>2380000</v>
      </c>
      <c r="H25" s="15">
        <f t="shared" si="1"/>
        <v>210000</v>
      </c>
      <c r="I25" s="15">
        <f>210000*0.22</f>
        <v>46200</v>
      </c>
      <c r="J25" s="16">
        <v>660000</v>
      </c>
      <c r="K25" s="15">
        <f>(220000*0.75)+(0.4*440000)</f>
        <v>341000</v>
      </c>
      <c r="L25" s="17">
        <f t="shared" si="3"/>
        <v>79750</v>
      </c>
      <c r="M25" s="18">
        <v>466950</v>
      </c>
      <c r="R25" s="19"/>
    </row>
    <row r="26" spans="1:18" ht="31.5" x14ac:dyDescent="0.2">
      <c r="A26" s="9">
        <v>2022</v>
      </c>
      <c r="B26" s="10">
        <v>480</v>
      </c>
      <c r="C26" s="12" t="s">
        <v>56</v>
      </c>
      <c r="D26" s="12" t="s">
        <v>59</v>
      </c>
      <c r="E26" s="13">
        <v>44803</v>
      </c>
      <c r="F26" s="14" t="s">
        <v>60</v>
      </c>
      <c r="G26" s="15">
        <v>2150000</v>
      </c>
      <c r="H26" s="15">
        <f t="shared" si="1"/>
        <v>168130</v>
      </c>
      <c r="I26" s="15">
        <f>168130*0.22</f>
        <v>36988.6</v>
      </c>
      <c r="J26" s="16">
        <f>2122000</f>
        <v>2122000</v>
      </c>
      <c r="K26" s="15">
        <v>1591500</v>
      </c>
      <c r="L26" s="17">
        <f t="shared" si="3"/>
        <v>132625</v>
      </c>
      <c r="M26" s="18">
        <v>1761113.6</v>
      </c>
      <c r="R26" s="19"/>
    </row>
    <row r="27" spans="1:18" ht="47.25" x14ac:dyDescent="0.2">
      <c r="A27" s="9">
        <v>2022</v>
      </c>
      <c r="B27" s="10">
        <v>462</v>
      </c>
      <c r="C27" s="12" t="s">
        <v>61</v>
      </c>
      <c r="D27" s="12" t="s">
        <v>62</v>
      </c>
      <c r="E27" s="13">
        <v>44823</v>
      </c>
      <c r="F27" s="14" t="s">
        <v>63</v>
      </c>
      <c r="G27" s="15">
        <v>2649240</v>
      </c>
      <c r="H27" s="15">
        <f t="shared" si="1"/>
        <v>756460.00000000012</v>
      </c>
      <c r="I27" s="15">
        <f>756460*0.22</f>
        <v>166421.20000000001</v>
      </c>
      <c r="J27" s="16">
        <v>2649240</v>
      </c>
      <c r="K27" s="15">
        <v>1986930</v>
      </c>
      <c r="L27" s="17">
        <f t="shared" si="3"/>
        <v>165577.5</v>
      </c>
      <c r="M27" s="18">
        <v>2318928.7000000002</v>
      </c>
      <c r="R27" s="19"/>
    </row>
    <row r="28" spans="1:18" ht="47.25" x14ac:dyDescent="0.2">
      <c r="A28" s="9">
        <v>2022</v>
      </c>
      <c r="B28" s="10">
        <v>481</v>
      </c>
      <c r="C28" s="12" t="s">
        <v>53</v>
      </c>
      <c r="D28" s="12" t="s">
        <v>64</v>
      </c>
      <c r="E28" s="13">
        <v>44823</v>
      </c>
      <c r="F28" s="14" t="s">
        <v>65</v>
      </c>
      <c r="G28" s="15">
        <v>6829000</v>
      </c>
      <c r="H28" s="15">
        <f t="shared" si="1"/>
        <v>0</v>
      </c>
      <c r="I28" s="15">
        <v>0</v>
      </c>
      <c r="J28" s="16">
        <v>6800000</v>
      </c>
      <c r="K28" s="15">
        <v>4890000</v>
      </c>
      <c r="L28" s="17">
        <f t="shared" si="3"/>
        <v>477500</v>
      </c>
      <c r="M28" s="18">
        <f t="shared" ref="M28:M54" si="4">K28+L28+I28</f>
        <v>5367500</v>
      </c>
      <c r="R28" s="19"/>
    </row>
    <row r="29" spans="1:18" ht="47.25" x14ac:dyDescent="0.2">
      <c r="A29" s="9">
        <v>2022</v>
      </c>
      <c r="B29" s="10">
        <v>482</v>
      </c>
      <c r="C29" s="11" t="s">
        <v>53</v>
      </c>
      <c r="D29" s="12" t="s">
        <v>66</v>
      </c>
      <c r="E29" s="13">
        <v>44823</v>
      </c>
      <c r="F29" s="14" t="s">
        <v>67</v>
      </c>
      <c r="G29" s="15">
        <v>2952000</v>
      </c>
      <c r="H29" s="15">
        <f t="shared" si="1"/>
        <v>0</v>
      </c>
      <c r="I29" s="15">
        <v>0</v>
      </c>
      <c r="J29" s="16">
        <v>2952000</v>
      </c>
      <c r="K29" s="15">
        <v>2214000</v>
      </c>
      <c r="L29" s="17">
        <v>184500</v>
      </c>
      <c r="M29" s="18">
        <f t="shared" si="4"/>
        <v>2398500</v>
      </c>
      <c r="R29" s="19"/>
    </row>
    <row r="30" spans="1:18" ht="47.25" x14ac:dyDescent="0.2">
      <c r="A30" s="9">
        <v>2022</v>
      </c>
      <c r="B30" s="10">
        <v>483</v>
      </c>
      <c r="C30" s="11" t="s">
        <v>53</v>
      </c>
      <c r="D30" s="12" t="s">
        <v>68</v>
      </c>
      <c r="E30" s="13">
        <v>44823</v>
      </c>
      <c r="F30" s="14" t="s">
        <v>69</v>
      </c>
      <c r="G30" s="15">
        <v>5453000</v>
      </c>
      <c r="H30" s="15">
        <f t="shared" si="1"/>
        <v>0</v>
      </c>
      <c r="I30" s="15">
        <v>0</v>
      </c>
      <c r="J30" s="16">
        <v>5410000</v>
      </c>
      <c r="K30" s="15">
        <v>4057500</v>
      </c>
      <c r="L30" s="17">
        <v>338125</v>
      </c>
      <c r="M30" s="18">
        <f t="shared" si="4"/>
        <v>4395625</v>
      </c>
      <c r="R30" s="19"/>
    </row>
    <row r="31" spans="1:18" ht="47.25" x14ac:dyDescent="0.2">
      <c r="A31" s="9">
        <v>2022</v>
      </c>
      <c r="B31" s="10">
        <v>484</v>
      </c>
      <c r="C31" s="12" t="s">
        <v>53</v>
      </c>
      <c r="D31" s="12" t="s">
        <v>70</v>
      </c>
      <c r="E31" s="13">
        <v>44825</v>
      </c>
      <c r="F31" s="14" t="s">
        <v>71</v>
      </c>
      <c r="G31" s="15">
        <v>4878623</v>
      </c>
      <c r="H31" s="15">
        <f t="shared" si="1"/>
        <v>0</v>
      </c>
      <c r="I31" s="15">
        <v>0</v>
      </c>
      <c r="J31" s="16">
        <v>4200000</v>
      </c>
      <c r="K31" s="15">
        <f>J31*0.75</f>
        <v>3150000</v>
      </c>
      <c r="L31" s="17">
        <f t="shared" ref="L31:L54" si="5">(J31-K31)*0.25</f>
        <v>262500</v>
      </c>
      <c r="M31" s="18">
        <f t="shared" si="4"/>
        <v>3412500</v>
      </c>
      <c r="R31" s="19"/>
    </row>
    <row r="32" spans="1:18" ht="47.25" x14ac:dyDescent="0.2">
      <c r="A32" s="9">
        <v>2022</v>
      </c>
      <c r="B32" s="10">
        <v>438</v>
      </c>
      <c r="C32" s="11" t="s">
        <v>61</v>
      </c>
      <c r="D32" s="12" t="s">
        <v>72</v>
      </c>
      <c r="E32" s="13">
        <v>44839</v>
      </c>
      <c r="F32" s="20" t="s">
        <v>73</v>
      </c>
      <c r="G32" s="15">
        <v>960736</v>
      </c>
      <c r="H32" s="15">
        <f t="shared" si="1"/>
        <v>0</v>
      </c>
      <c r="I32" s="15">
        <v>0</v>
      </c>
      <c r="J32" s="16">
        <v>960736</v>
      </c>
      <c r="K32" s="15">
        <v>720552</v>
      </c>
      <c r="L32" s="17">
        <f t="shared" si="5"/>
        <v>60046</v>
      </c>
      <c r="M32" s="18">
        <f t="shared" si="4"/>
        <v>780598</v>
      </c>
      <c r="R32" s="19"/>
    </row>
    <row r="33" spans="1:18" ht="18" x14ac:dyDescent="0.2">
      <c r="A33" s="9">
        <v>2022</v>
      </c>
      <c r="B33" s="10">
        <v>463</v>
      </c>
      <c r="C33" s="11" t="s">
        <v>74</v>
      </c>
      <c r="D33" s="12" t="s">
        <v>75</v>
      </c>
      <c r="E33" s="13">
        <v>44839</v>
      </c>
      <c r="F33" s="20" t="s">
        <v>76</v>
      </c>
      <c r="G33" s="15">
        <v>1700000</v>
      </c>
      <c r="H33" s="15">
        <f t="shared" si="1"/>
        <v>0</v>
      </c>
      <c r="I33" s="15">
        <v>0</v>
      </c>
      <c r="J33" s="16">
        <v>1700000</v>
      </c>
      <c r="K33" s="15">
        <f t="shared" ref="K33:K35" si="6">J33*0.75</f>
        <v>1275000</v>
      </c>
      <c r="L33" s="17">
        <f t="shared" si="5"/>
        <v>106250</v>
      </c>
      <c r="M33" s="18">
        <f t="shared" si="4"/>
        <v>1381250</v>
      </c>
      <c r="R33" s="19"/>
    </row>
    <row r="34" spans="1:18" ht="63" x14ac:dyDescent="0.2">
      <c r="A34" s="9">
        <v>2022</v>
      </c>
      <c r="B34" s="10">
        <v>465</v>
      </c>
      <c r="C34" s="11" t="s">
        <v>74</v>
      </c>
      <c r="D34" s="12" t="s">
        <v>77</v>
      </c>
      <c r="E34" s="13">
        <v>44839</v>
      </c>
      <c r="F34" s="20" t="s">
        <v>78</v>
      </c>
      <c r="G34" s="15">
        <v>280000</v>
      </c>
      <c r="H34" s="15">
        <f t="shared" si="1"/>
        <v>157380</v>
      </c>
      <c r="I34" s="15">
        <f>157380*0.22</f>
        <v>34623.599999999999</v>
      </c>
      <c r="J34" s="16">
        <v>280000</v>
      </c>
      <c r="K34" s="15">
        <f t="shared" si="6"/>
        <v>210000</v>
      </c>
      <c r="L34" s="17">
        <f t="shared" si="5"/>
        <v>17500</v>
      </c>
      <c r="M34" s="18">
        <f t="shared" si="4"/>
        <v>262123.6</v>
      </c>
      <c r="R34" s="19"/>
    </row>
    <row r="35" spans="1:18" ht="18" x14ac:dyDescent="0.2">
      <c r="A35" s="9">
        <v>2022</v>
      </c>
      <c r="B35" s="10">
        <v>439</v>
      </c>
      <c r="C35" s="11" t="s">
        <v>79</v>
      </c>
      <c r="D35" s="12" t="s">
        <v>80</v>
      </c>
      <c r="E35" s="13">
        <v>44852</v>
      </c>
      <c r="F35" s="20" t="s">
        <v>81</v>
      </c>
      <c r="G35" s="15">
        <v>1270000</v>
      </c>
      <c r="H35" s="15">
        <f t="shared" si="1"/>
        <v>0</v>
      </c>
      <c r="I35" s="15">
        <v>0</v>
      </c>
      <c r="J35" s="16">
        <v>584388</v>
      </c>
      <c r="K35" s="15">
        <f t="shared" si="6"/>
        <v>438291</v>
      </c>
      <c r="L35" s="17">
        <f t="shared" si="5"/>
        <v>36524.25</v>
      </c>
      <c r="M35" s="18">
        <f t="shared" si="4"/>
        <v>474815.25</v>
      </c>
      <c r="R35" s="19"/>
    </row>
    <row r="36" spans="1:18" ht="31.5" x14ac:dyDescent="0.2">
      <c r="A36" s="9">
        <v>2022</v>
      </c>
      <c r="B36" s="10">
        <v>632</v>
      </c>
      <c r="C36" s="11" t="s">
        <v>82</v>
      </c>
      <c r="D36" s="12" t="s">
        <v>83</v>
      </c>
      <c r="E36" s="13">
        <v>44852</v>
      </c>
      <c r="F36" s="20" t="s">
        <v>84</v>
      </c>
      <c r="G36" s="15">
        <v>2338828</v>
      </c>
      <c r="H36" s="15">
        <f t="shared" si="1"/>
        <v>1748358</v>
      </c>
      <c r="I36" s="15">
        <f>1748358*0.22</f>
        <v>384638.76</v>
      </c>
      <c r="J36" s="16">
        <v>0</v>
      </c>
      <c r="K36" s="15">
        <f>J36*0.4</f>
        <v>0</v>
      </c>
      <c r="L36" s="17">
        <f t="shared" si="5"/>
        <v>0</v>
      </c>
      <c r="M36" s="18">
        <f t="shared" si="4"/>
        <v>384638.76</v>
      </c>
      <c r="R36" s="19"/>
    </row>
    <row r="37" spans="1:18" ht="31.5" x14ac:dyDescent="0.2">
      <c r="A37" s="9">
        <v>2022</v>
      </c>
      <c r="B37" s="10">
        <v>464</v>
      </c>
      <c r="C37" s="11" t="s">
        <v>74</v>
      </c>
      <c r="D37" s="12" t="s">
        <v>85</v>
      </c>
      <c r="E37" s="13">
        <v>44861</v>
      </c>
      <c r="F37" s="20" t="s">
        <v>86</v>
      </c>
      <c r="G37" s="15">
        <v>250000</v>
      </c>
      <c r="H37" s="15">
        <f t="shared" si="1"/>
        <v>250000</v>
      </c>
      <c r="I37" s="15">
        <f>250000*0.22</f>
        <v>55000</v>
      </c>
      <c r="J37" s="16">
        <v>250000</v>
      </c>
      <c r="K37" s="15">
        <f t="shared" ref="K37:K38" si="7">J37*0.75</f>
        <v>187500</v>
      </c>
      <c r="L37" s="17">
        <f t="shared" si="5"/>
        <v>15625</v>
      </c>
      <c r="M37" s="18">
        <f t="shared" si="4"/>
        <v>258125</v>
      </c>
      <c r="R37" s="19"/>
    </row>
    <row r="38" spans="1:18" ht="31.5" x14ac:dyDescent="0.2">
      <c r="A38" s="9">
        <v>2022</v>
      </c>
      <c r="B38" s="10">
        <v>536</v>
      </c>
      <c r="C38" s="11" t="s">
        <v>87</v>
      </c>
      <c r="D38" s="21" t="s">
        <v>88</v>
      </c>
      <c r="E38" s="13">
        <v>44861</v>
      </c>
      <c r="F38" s="20" t="s">
        <v>89</v>
      </c>
      <c r="G38" s="15">
        <v>4875000</v>
      </c>
      <c r="H38" s="15">
        <f t="shared" si="1"/>
        <v>2574150</v>
      </c>
      <c r="I38" s="15">
        <f>2574150*0.22</f>
        <v>566313</v>
      </c>
      <c r="J38" s="16">
        <v>3900000</v>
      </c>
      <c r="K38" s="15">
        <f t="shared" si="7"/>
        <v>2925000</v>
      </c>
      <c r="L38" s="17">
        <f t="shared" si="5"/>
        <v>243750</v>
      </c>
      <c r="M38" s="18">
        <f t="shared" si="4"/>
        <v>3735063</v>
      </c>
      <c r="R38" s="19"/>
    </row>
    <row r="39" spans="1:18" ht="18" x14ac:dyDescent="0.2">
      <c r="A39" s="9">
        <v>2022</v>
      </c>
      <c r="B39" s="10">
        <v>552</v>
      </c>
      <c r="C39" s="11" t="s">
        <v>90</v>
      </c>
      <c r="D39" s="12" t="s">
        <v>91</v>
      </c>
      <c r="E39" s="13">
        <v>44861</v>
      </c>
      <c r="F39" s="20" t="s">
        <v>92</v>
      </c>
      <c r="G39" s="15">
        <v>2450000</v>
      </c>
      <c r="H39" s="15">
        <f t="shared" si="1"/>
        <v>2450000</v>
      </c>
      <c r="I39" s="15">
        <f>2450000*0.22</f>
        <v>539000</v>
      </c>
      <c r="J39" s="16">
        <v>2450000</v>
      </c>
      <c r="K39" s="15">
        <f>J39*0.4</f>
        <v>980000</v>
      </c>
      <c r="L39" s="17">
        <f t="shared" si="5"/>
        <v>367500</v>
      </c>
      <c r="M39" s="18">
        <f t="shared" si="4"/>
        <v>1886500</v>
      </c>
      <c r="R39" s="19"/>
    </row>
    <row r="40" spans="1:18" ht="78.75" x14ac:dyDescent="0.2">
      <c r="A40" s="9">
        <v>2022</v>
      </c>
      <c r="B40" s="10">
        <v>666</v>
      </c>
      <c r="C40" s="12" t="s">
        <v>93</v>
      </c>
      <c r="D40" s="12" t="s">
        <v>94</v>
      </c>
      <c r="E40" s="13">
        <v>44861</v>
      </c>
      <c r="F40" s="20" t="s">
        <v>95</v>
      </c>
      <c r="G40" s="15">
        <v>1559000</v>
      </c>
      <c r="H40" s="15">
        <f t="shared" si="1"/>
        <v>0</v>
      </c>
      <c r="I40" s="15">
        <v>0</v>
      </c>
      <c r="J40" s="16">
        <v>1559000</v>
      </c>
      <c r="K40" s="15">
        <f t="shared" ref="K40:K42" si="8">J40*0.75</f>
        <v>1169250</v>
      </c>
      <c r="L40" s="17">
        <f t="shared" si="5"/>
        <v>97437.5</v>
      </c>
      <c r="M40" s="18">
        <f t="shared" si="4"/>
        <v>1266687.5</v>
      </c>
      <c r="R40" s="19"/>
    </row>
    <row r="41" spans="1:18" ht="31.5" x14ac:dyDescent="0.2">
      <c r="A41" s="9">
        <v>2022</v>
      </c>
      <c r="B41" s="10">
        <v>681</v>
      </c>
      <c r="C41" s="11" t="s">
        <v>96</v>
      </c>
      <c r="D41" s="12" t="s">
        <v>97</v>
      </c>
      <c r="E41" s="13">
        <v>44861</v>
      </c>
      <c r="F41" s="20" t="s">
        <v>98</v>
      </c>
      <c r="G41" s="15">
        <v>1470000</v>
      </c>
      <c r="H41" s="15">
        <f t="shared" si="1"/>
        <v>1470000</v>
      </c>
      <c r="I41" s="15">
        <v>323400</v>
      </c>
      <c r="J41" s="16">
        <v>1047300</v>
      </c>
      <c r="K41" s="15">
        <f t="shared" si="8"/>
        <v>785475</v>
      </c>
      <c r="L41" s="17">
        <f t="shared" si="5"/>
        <v>65456.25</v>
      </c>
      <c r="M41" s="18">
        <f t="shared" si="4"/>
        <v>1174331.25</v>
      </c>
      <c r="R41" s="19"/>
    </row>
    <row r="42" spans="1:18" ht="47.25" x14ac:dyDescent="0.2">
      <c r="A42" s="9">
        <v>2022</v>
      </c>
      <c r="B42" s="10">
        <v>609</v>
      </c>
      <c r="C42" s="12" t="s">
        <v>53</v>
      </c>
      <c r="D42" s="12" t="s">
        <v>99</v>
      </c>
      <c r="E42" s="13">
        <v>44888</v>
      </c>
      <c r="F42" s="20" t="s">
        <v>100</v>
      </c>
      <c r="G42" s="15">
        <v>7000000</v>
      </c>
      <c r="H42" s="15">
        <f t="shared" si="1"/>
        <v>0</v>
      </c>
      <c r="I42" s="15">
        <v>0</v>
      </c>
      <c r="J42" s="16">
        <v>6794850</v>
      </c>
      <c r="K42" s="15">
        <f t="shared" si="8"/>
        <v>5096137.5</v>
      </c>
      <c r="L42" s="17">
        <f t="shared" si="5"/>
        <v>424678.125</v>
      </c>
      <c r="M42" s="18">
        <f t="shared" si="4"/>
        <v>5520815.625</v>
      </c>
      <c r="R42" s="19"/>
    </row>
    <row r="43" spans="1:18" ht="31.5" x14ac:dyDescent="0.2">
      <c r="A43" s="9">
        <v>2022</v>
      </c>
      <c r="B43" s="10">
        <v>643</v>
      </c>
      <c r="C43" s="11" t="s">
        <v>101</v>
      </c>
      <c r="D43" s="12" t="s">
        <v>102</v>
      </c>
      <c r="E43" s="13">
        <v>44900</v>
      </c>
      <c r="F43" s="20" t="s">
        <v>103</v>
      </c>
      <c r="G43" s="15">
        <v>6704000</v>
      </c>
      <c r="H43" s="15">
        <f t="shared" si="1"/>
        <v>0</v>
      </c>
      <c r="I43" s="15">
        <v>0</v>
      </c>
      <c r="J43" s="16">
        <v>1644000</v>
      </c>
      <c r="K43" s="15">
        <f>J43*0.4</f>
        <v>657600</v>
      </c>
      <c r="L43" s="22">
        <f t="shared" si="5"/>
        <v>246600</v>
      </c>
      <c r="M43" s="18">
        <f t="shared" si="4"/>
        <v>904200</v>
      </c>
      <c r="R43" s="19"/>
    </row>
    <row r="44" spans="1:18" ht="18" x14ac:dyDescent="0.2">
      <c r="A44" s="9">
        <v>2022</v>
      </c>
      <c r="B44" s="10">
        <v>512</v>
      </c>
      <c r="C44" s="11" t="s">
        <v>74</v>
      </c>
      <c r="D44" s="12" t="s">
        <v>104</v>
      </c>
      <c r="E44" s="13">
        <v>44915</v>
      </c>
      <c r="F44" s="20" t="s">
        <v>105</v>
      </c>
      <c r="G44" s="15">
        <v>280000</v>
      </c>
      <c r="H44" s="15">
        <f t="shared" si="1"/>
        <v>280000</v>
      </c>
      <c r="I44" s="15">
        <f>280000*0.22</f>
        <v>61600</v>
      </c>
      <c r="J44" s="16">
        <v>280000</v>
      </c>
      <c r="K44" s="15">
        <f t="shared" ref="K44:K47" si="9">J44*0.75</f>
        <v>210000</v>
      </c>
      <c r="L44" s="17">
        <f t="shared" si="5"/>
        <v>17500</v>
      </c>
      <c r="M44" s="18">
        <f t="shared" si="4"/>
        <v>289100</v>
      </c>
      <c r="R44" s="19"/>
    </row>
    <row r="45" spans="1:18" ht="18" x14ac:dyDescent="0.2">
      <c r="A45" s="9">
        <v>2022</v>
      </c>
      <c r="B45" s="10">
        <v>565</v>
      </c>
      <c r="C45" s="11" t="s">
        <v>74</v>
      </c>
      <c r="D45" s="12" t="s">
        <v>106</v>
      </c>
      <c r="E45" s="13">
        <v>44915</v>
      </c>
      <c r="F45" s="20" t="s">
        <v>107</v>
      </c>
      <c r="G45" s="15">
        <v>180000</v>
      </c>
      <c r="H45" s="15">
        <f t="shared" si="1"/>
        <v>0</v>
      </c>
      <c r="I45" s="15">
        <v>0</v>
      </c>
      <c r="J45" s="16">
        <v>180000</v>
      </c>
      <c r="K45" s="15">
        <f t="shared" si="9"/>
        <v>135000</v>
      </c>
      <c r="L45" s="22">
        <f t="shared" si="5"/>
        <v>11250</v>
      </c>
      <c r="M45" s="18">
        <f t="shared" si="4"/>
        <v>146250</v>
      </c>
      <c r="R45" s="19"/>
    </row>
    <row r="46" spans="1:18" ht="47.25" x14ac:dyDescent="0.2">
      <c r="A46" s="9">
        <v>2022</v>
      </c>
      <c r="B46" s="10">
        <v>607</v>
      </c>
      <c r="C46" s="12" t="s">
        <v>53</v>
      </c>
      <c r="D46" s="12" t="s">
        <v>108</v>
      </c>
      <c r="E46" s="13">
        <v>44915</v>
      </c>
      <c r="F46" s="20" t="s">
        <v>109</v>
      </c>
      <c r="G46" s="15">
        <v>475000</v>
      </c>
      <c r="H46" s="15">
        <f t="shared" si="1"/>
        <v>0</v>
      </c>
      <c r="I46" s="15">
        <v>0</v>
      </c>
      <c r="J46" s="16">
        <v>475000</v>
      </c>
      <c r="K46" s="15">
        <f t="shared" si="9"/>
        <v>356250</v>
      </c>
      <c r="L46" s="22">
        <f t="shared" si="5"/>
        <v>29687.5</v>
      </c>
      <c r="M46" s="18">
        <f t="shared" si="4"/>
        <v>385937.5</v>
      </c>
      <c r="R46" s="19"/>
    </row>
    <row r="47" spans="1:18" ht="18" x14ac:dyDescent="0.2">
      <c r="A47" s="9">
        <v>2022</v>
      </c>
      <c r="B47" s="10">
        <v>694</v>
      </c>
      <c r="C47" s="11" t="s">
        <v>90</v>
      </c>
      <c r="D47" s="12" t="s">
        <v>110</v>
      </c>
      <c r="E47" s="13">
        <v>44915</v>
      </c>
      <c r="F47" s="20" t="s">
        <v>111</v>
      </c>
      <c r="G47" s="15">
        <v>784000</v>
      </c>
      <c r="H47" s="15">
        <f t="shared" si="1"/>
        <v>0</v>
      </c>
      <c r="I47" s="15">
        <v>0</v>
      </c>
      <c r="J47" s="16">
        <v>784000</v>
      </c>
      <c r="K47" s="15">
        <f t="shared" si="9"/>
        <v>588000</v>
      </c>
      <c r="L47" s="22">
        <f t="shared" si="5"/>
        <v>49000</v>
      </c>
      <c r="M47" s="18">
        <f t="shared" si="4"/>
        <v>637000</v>
      </c>
      <c r="R47" s="19"/>
    </row>
    <row r="48" spans="1:18" ht="31.5" x14ac:dyDescent="0.2">
      <c r="A48" s="9">
        <v>2022</v>
      </c>
      <c r="B48" s="10">
        <v>639</v>
      </c>
      <c r="C48" s="11" t="s">
        <v>79</v>
      </c>
      <c r="D48" s="23" t="s">
        <v>112</v>
      </c>
      <c r="E48" s="13">
        <v>44917</v>
      </c>
      <c r="F48" s="20" t="s">
        <v>113</v>
      </c>
      <c r="G48" s="15">
        <v>2520000</v>
      </c>
      <c r="H48" s="15">
        <f t="shared" si="1"/>
        <v>0</v>
      </c>
      <c r="I48" s="15">
        <v>0</v>
      </c>
      <c r="J48" s="16">
        <v>2262598</v>
      </c>
      <c r="K48" s="15">
        <f>(869176*2*0.4)+(262123*2*0.75)+1</f>
        <v>1088526.3</v>
      </c>
      <c r="L48" s="22">
        <f t="shared" si="5"/>
        <v>293517.92499999999</v>
      </c>
      <c r="M48" s="18">
        <f t="shared" si="4"/>
        <v>1382044.2250000001</v>
      </c>
      <c r="R48" s="19"/>
    </row>
    <row r="49" spans="1:18" ht="31.5" x14ac:dyDescent="0.2">
      <c r="A49" s="9">
        <v>2022</v>
      </c>
      <c r="B49" s="10">
        <v>564</v>
      </c>
      <c r="C49" s="11" t="s">
        <v>101</v>
      </c>
      <c r="D49" s="12" t="s">
        <v>114</v>
      </c>
      <c r="E49" s="13">
        <v>44917</v>
      </c>
      <c r="F49" s="20" t="s">
        <v>115</v>
      </c>
      <c r="G49" s="15">
        <v>6984000</v>
      </c>
      <c r="H49" s="15">
        <f t="shared" si="1"/>
        <v>0</v>
      </c>
      <c r="I49" s="15">
        <v>0</v>
      </c>
      <c r="J49" s="16">
        <v>4125000</v>
      </c>
      <c r="K49" s="15">
        <f>1600000+93750</f>
        <v>1693750</v>
      </c>
      <c r="L49" s="22">
        <f t="shared" si="5"/>
        <v>607812.5</v>
      </c>
      <c r="M49" s="18">
        <f t="shared" si="4"/>
        <v>2301562.5</v>
      </c>
      <c r="R49" s="19"/>
    </row>
    <row r="50" spans="1:18" ht="47.25" x14ac:dyDescent="0.2">
      <c r="A50" s="9">
        <v>2022</v>
      </c>
      <c r="B50" s="10">
        <v>627</v>
      </c>
      <c r="C50" s="11" t="s">
        <v>90</v>
      </c>
      <c r="D50" s="12" t="s">
        <v>116</v>
      </c>
      <c r="E50" s="13">
        <v>44917</v>
      </c>
      <c r="F50" s="20" t="s">
        <v>117</v>
      </c>
      <c r="G50" s="15">
        <v>957000</v>
      </c>
      <c r="H50" s="15">
        <f t="shared" si="1"/>
        <v>207000</v>
      </c>
      <c r="I50" s="15">
        <f>207000*0.22</f>
        <v>45540</v>
      </c>
      <c r="J50" s="16">
        <v>957000</v>
      </c>
      <c r="K50" s="15">
        <f t="shared" ref="K50:K53" si="10">J50*0.75</f>
        <v>717750</v>
      </c>
      <c r="L50" s="22">
        <f t="shared" si="5"/>
        <v>59812.5</v>
      </c>
      <c r="M50" s="18">
        <f t="shared" si="4"/>
        <v>823102.5</v>
      </c>
      <c r="R50" s="19"/>
    </row>
    <row r="51" spans="1:18" ht="18" x14ac:dyDescent="0.2">
      <c r="A51" s="9">
        <v>2022</v>
      </c>
      <c r="B51" s="10">
        <v>719</v>
      </c>
      <c r="C51" s="11" t="s">
        <v>118</v>
      </c>
      <c r="D51" s="12" t="s">
        <v>119</v>
      </c>
      <c r="E51" s="13">
        <v>44918</v>
      </c>
      <c r="F51" s="20" t="s">
        <v>120</v>
      </c>
      <c r="G51" s="15">
        <v>515012</v>
      </c>
      <c r="H51" s="15">
        <f t="shared" si="1"/>
        <v>467322</v>
      </c>
      <c r="I51" s="15">
        <f>467322*0.22</f>
        <v>102810.84</v>
      </c>
      <c r="J51" s="16">
        <v>310615</v>
      </c>
      <c r="K51" s="15">
        <f t="shared" si="10"/>
        <v>232961.25</v>
      </c>
      <c r="L51" s="22">
        <f t="shared" si="5"/>
        <v>19413.4375</v>
      </c>
      <c r="M51" s="18">
        <f t="shared" si="4"/>
        <v>355185.52749999997</v>
      </c>
      <c r="R51" s="19"/>
    </row>
    <row r="52" spans="1:18" ht="47.25" x14ac:dyDescent="0.2">
      <c r="A52" s="9">
        <v>2022</v>
      </c>
      <c r="B52" s="10">
        <v>485</v>
      </c>
      <c r="C52" s="12" t="s">
        <v>53</v>
      </c>
      <c r="D52" s="12" t="s">
        <v>121</v>
      </c>
      <c r="E52" s="13">
        <v>44922</v>
      </c>
      <c r="F52" s="20" t="s">
        <v>122</v>
      </c>
      <c r="G52" s="15">
        <v>4606320</v>
      </c>
      <c r="H52" s="15">
        <f t="shared" si="1"/>
        <v>0</v>
      </c>
      <c r="I52" s="15">
        <v>0</v>
      </c>
      <c r="J52" s="16">
        <v>2125000</v>
      </c>
      <c r="K52" s="15">
        <f t="shared" si="10"/>
        <v>1593750</v>
      </c>
      <c r="L52" s="17">
        <f t="shared" si="5"/>
        <v>132812.5</v>
      </c>
      <c r="M52" s="18">
        <f t="shared" si="4"/>
        <v>1726562.5</v>
      </c>
      <c r="R52" s="19"/>
    </row>
    <row r="53" spans="1:18" ht="47.25" x14ac:dyDescent="0.2">
      <c r="A53" s="9">
        <v>2022</v>
      </c>
      <c r="B53" s="10">
        <v>934</v>
      </c>
      <c r="C53" s="11" t="s">
        <v>123</v>
      </c>
      <c r="D53" s="12" t="s">
        <v>124</v>
      </c>
      <c r="E53" s="13">
        <v>44922</v>
      </c>
      <c r="F53" s="20" t="s">
        <v>125</v>
      </c>
      <c r="G53" s="15">
        <v>300000</v>
      </c>
      <c r="H53" s="15">
        <f t="shared" si="1"/>
        <v>0</v>
      </c>
      <c r="I53" s="15">
        <v>0</v>
      </c>
      <c r="J53" s="16">
        <v>55000</v>
      </c>
      <c r="K53" s="15">
        <f t="shared" si="10"/>
        <v>41250</v>
      </c>
      <c r="L53" s="22">
        <f t="shared" si="5"/>
        <v>3437.5</v>
      </c>
      <c r="M53" s="18">
        <f t="shared" si="4"/>
        <v>44687.5</v>
      </c>
      <c r="R53" s="19"/>
    </row>
    <row r="54" spans="1:18" ht="31.5" x14ac:dyDescent="0.2">
      <c r="A54" s="9">
        <v>2022</v>
      </c>
      <c r="B54" s="10">
        <v>794</v>
      </c>
      <c r="C54" s="11" t="s">
        <v>126</v>
      </c>
      <c r="D54" s="12" t="s">
        <v>127</v>
      </c>
      <c r="E54" s="13">
        <v>44922</v>
      </c>
      <c r="F54" s="20" t="s">
        <v>128</v>
      </c>
      <c r="G54" s="15">
        <v>3266320</v>
      </c>
      <c r="H54" s="15">
        <f t="shared" si="1"/>
        <v>2972920</v>
      </c>
      <c r="I54" s="15">
        <f>2972920*0.22</f>
        <v>654042.4</v>
      </c>
      <c r="J54" s="16">
        <v>2035000</v>
      </c>
      <c r="K54" s="15">
        <v>1526250</v>
      </c>
      <c r="L54" s="22">
        <f t="shared" si="5"/>
        <v>127187.5</v>
      </c>
      <c r="M54" s="18">
        <f t="shared" si="4"/>
        <v>2307479.9</v>
      </c>
      <c r="R54" s="19"/>
    </row>
    <row r="55" spans="1:18" ht="20.25" x14ac:dyDescent="0.3">
      <c r="G55" s="24">
        <f>SUM(G12:G54)</f>
        <v>149074215</v>
      </c>
      <c r="H55" s="24"/>
      <c r="I55" s="24">
        <f>SUM(I12:I54)</f>
        <v>12904795.979999999</v>
      </c>
      <c r="J55" s="24">
        <f>SUM(J12:J54)</f>
        <v>92938830</v>
      </c>
      <c r="K55" s="24">
        <f>SUM(K12:K54)</f>
        <v>64648449.049999997</v>
      </c>
      <c r="L55" s="24">
        <f>SUM(L12:L54)</f>
        <v>6966032.2374999998</v>
      </c>
      <c r="M55" s="24">
        <f>SUM(M12:M54)</f>
        <v>84519277.267500013</v>
      </c>
    </row>
    <row r="57" spans="1:18" ht="19.5" x14ac:dyDescent="0.2">
      <c r="A57" s="38" t="s">
        <v>129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8" ht="23.25" x14ac:dyDescent="0.2">
      <c r="E58" s="25"/>
      <c r="F58" s="25"/>
      <c r="H58" s="25"/>
      <c r="I58" s="25"/>
      <c r="J58" s="39"/>
      <c r="K58" s="39"/>
      <c r="L58" s="39"/>
      <c r="M58" s="39"/>
      <c r="N58" s="39"/>
    </row>
    <row r="59" spans="1:18" ht="23.25" x14ac:dyDescent="0.2">
      <c r="E59" s="25"/>
      <c r="F59" s="25"/>
      <c r="H59" s="25"/>
      <c r="I59" s="25"/>
      <c r="J59" s="39"/>
      <c r="K59" s="39"/>
      <c r="L59" s="39"/>
      <c r="M59" s="39"/>
      <c r="N59" s="39"/>
    </row>
    <row r="60" spans="1:18" ht="23.25" x14ac:dyDescent="0.35">
      <c r="E60" s="26"/>
      <c r="F60" s="26"/>
      <c r="H60" s="26"/>
      <c r="I60" s="26"/>
      <c r="J60" s="26"/>
      <c r="K60" s="26"/>
      <c r="L60" s="26"/>
      <c r="M60" s="27"/>
    </row>
    <row r="61" spans="1:18" ht="23.25" x14ac:dyDescent="0.35">
      <c r="E61" s="26"/>
      <c r="F61" s="26"/>
      <c r="H61" s="26"/>
      <c r="I61" s="26"/>
      <c r="J61" s="26"/>
      <c r="K61" s="26"/>
      <c r="L61" s="26"/>
      <c r="M61" s="27"/>
    </row>
    <row r="62" spans="1:18" ht="23.25" x14ac:dyDescent="0.2">
      <c r="E62" s="25"/>
      <c r="F62" s="25"/>
      <c r="H62" s="25"/>
      <c r="I62" s="25"/>
      <c r="J62" s="39"/>
      <c r="K62" s="39"/>
      <c r="L62" s="39"/>
      <c r="M62" s="39"/>
      <c r="N62" s="39"/>
    </row>
    <row r="63" spans="1:18" ht="23.25" x14ac:dyDescent="0.35">
      <c r="E63" s="26"/>
      <c r="F63" s="26"/>
      <c r="H63" s="26"/>
      <c r="I63" s="26"/>
      <c r="J63" s="26"/>
      <c r="K63" s="26"/>
      <c r="L63" s="26"/>
      <c r="M63" s="27"/>
    </row>
    <row r="64" spans="1:18" ht="23.25" x14ac:dyDescent="0.35">
      <c r="E64" s="26"/>
      <c r="F64" s="26"/>
      <c r="H64" s="26"/>
      <c r="I64" s="26"/>
      <c r="J64" s="26"/>
      <c r="K64" s="26"/>
      <c r="L64" s="26"/>
      <c r="M64" s="27"/>
    </row>
    <row r="65" spans="5:19" ht="23.25" x14ac:dyDescent="0.2">
      <c r="E65" s="25"/>
      <c r="F65" s="25"/>
      <c r="H65" s="25"/>
      <c r="I65" s="25"/>
      <c r="J65" s="39"/>
      <c r="K65" s="39"/>
      <c r="L65" s="39"/>
      <c r="M65" s="39"/>
      <c r="N65" s="39"/>
    </row>
    <row r="66" spans="5:19" ht="15" x14ac:dyDescent="0.2">
      <c r="I66" s="28"/>
    </row>
    <row r="70" spans="5:19" ht="23.25" x14ac:dyDescent="0.35">
      <c r="S70" s="29"/>
    </row>
    <row r="76" spans="5:19" ht="23.25" x14ac:dyDescent="0.35">
      <c r="M76" s="29"/>
    </row>
    <row r="78" spans="5:19" ht="23.25" x14ac:dyDescent="0.35">
      <c r="M78" s="29"/>
    </row>
    <row r="79" spans="5:19" ht="23.25" x14ac:dyDescent="0.35">
      <c r="M79" s="29"/>
    </row>
    <row r="80" spans="5:19" ht="23.25" x14ac:dyDescent="0.35">
      <c r="M80" s="29"/>
    </row>
    <row r="81" spans="8:13" ht="23.25" x14ac:dyDescent="0.35">
      <c r="H81" s="30"/>
      <c r="L81" s="30"/>
      <c r="M81" s="29"/>
    </row>
    <row r="82" spans="8:13" ht="23.25" x14ac:dyDescent="0.35">
      <c r="M82" s="29"/>
    </row>
    <row r="83" spans="8:13" ht="23.25" x14ac:dyDescent="0.35">
      <c r="M83" s="29"/>
    </row>
  </sheetData>
  <sheetProtection selectLockedCells="1" selectUnlockedCells="1"/>
  <mergeCells count="16">
    <mergeCell ref="M10:M11"/>
    <mergeCell ref="A57:M57"/>
    <mergeCell ref="J58:N58"/>
    <mergeCell ref="J59:N59"/>
    <mergeCell ref="J62:N62"/>
    <mergeCell ref="J65:N65"/>
    <mergeCell ref="A9:M9"/>
    <mergeCell ref="A10:B10"/>
    <mergeCell ref="C10:C11"/>
    <mergeCell ref="D10:D11"/>
    <mergeCell ref="E10:F10"/>
    <mergeCell ref="G10:G11"/>
    <mergeCell ref="H10:H11"/>
    <mergeCell ref="I10:I11"/>
    <mergeCell ref="J10:J11"/>
    <mergeCell ref="K10:L10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</dc:creator>
  <cp:lastModifiedBy>Deporte</cp:lastModifiedBy>
  <dcterms:created xsi:type="dcterms:W3CDTF">2023-02-06T16:19:44Z</dcterms:created>
  <dcterms:modified xsi:type="dcterms:W3CDTF">2023-02-06T16:19:44Z</dcterms:modified>
</cp:coreProperties>
</file>