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Password="C7CA" lockStructure="1"/>
  <bookViews>
    <workbookView xWindow="255" yWindow="-180" windowWidth="12045" windowHeight="12765"/>
  </bookViews>
  <sheets>
    <sheet name="MT-ETUS" sheetId="26" r:id="rId1"/>
    <sheet name="CLIMA" sheetId="36" r:id="rId2"/>
    <sheet name="COMPLEMENTOS" sheetId="37" r:id="rId3"/>
    <sheet name="Lista de chequeo MT" sheetId="40" state="hidden" r:id="rId4"/>
    <sheet name="Revisión de planos" sheetId="41" state="hidden" r:id="rId5"/>
  </sheets>
  <externalReferences>
    <externalReference r:id="rId6"/>
  </externalReferences>
  <definedNames>
    <definedName name="_Fill" hidden="1">#REF!</definedName>
    <definedName name="_xlnm._FilterDatabase" localSheetId="3" hidden="1">'Lista de chequeo MT'!$L$1:$Y$436</definedName>
    <definedName name="_xlnm._FilterDatabase" localSheetId="0" hidden="1">'MT-ETUS'!$AA$1:$AJ$407</definedName>
    <definedName name="_xlnm._FilterDatabase" localSheetId="4" hidden="1">'Revisión de planos'!$I$1:$V$106</definedName>
    <definedName name="_Parse_Out" hidden="1">#REF!</definedName>
    <definedName name="ACUMULADORES">#REF!</definedName>
    <definedName name="AISLAMIENTO">#REF!</definedName>
    <definedName name="ANTIVIBRATORIOS">#REF!</definedName>
    <definedName name="_xlnm.Print_Area" localSheetId="3">'Lista de chequeo MT'!$A$2:$J$423</definedName>
    <definedName name="_xlnm.Print_Area" localSheetId="4">'Revisión de planos'!$A$1:$G$100</definedName>
    <definedName name="BOMBAS_PRIMARIO">#REF!</definedName>
    <definedName name="BOMBAS_SECUNDARIO">#REF!</definedName>
    <definedName name="CONTADORES_AGUA">#REF!</definedName>
    <definedName name="CONTADORES_KCAL">#REF!</definedName>
    <definedName name="DIELECTRICOS">#REF!</definedName>
    <definedName name="ESTRUCTURAS">#REF!</definedName>
    <definedName name="euro">[1]eprepre!$G$111</definedName>
    <definedName name="FILTROS">#REF!</definedName>
    <definedName name="INTERCAMBIADORES">#REF!</definedName>
    <definedName name="IONIZADORES">#REF!</definedName>
    <definedName name="MANO_OBRA">#REF!</definedName>
    <definedName name="MEMORIA">#REF!</definedName>
    <definedName name="PANELES">#REF!</definedName>
    <definedName name="PRESUPUESTO">#REF!</definedName>
    <definedName name="R_PRESION">#REF!</definedName>
    <definedName name="RESULTADOS">#REF!</definedName>
    <definedName name="SEPARADORES_AIRE">#REF!</definedName>
    <definedName name="SOMBRA">#REF!</definedName>
    <definedName name="_xlnm.Print_Titles" localSheetId="3">'Lista de chequeo MT'!$3:$3</definedName>
    <definedName name="TUBERIA">#REF!</definedName>
    <definedName name="UPK">#REF!</definedName>
    <definedName name="V_ESFERA">#REF!</definedName>
    <definedName name="V_RETENCION">#REF!</definedName>
    <definedName name="VASOS_EXPANSION">#REF!</definedName>
    <definedName name="Z_FE4792CB_B919_4F54_9754_D4BC1B90FDF0_.wvu.Cols" localSheetId="0" hidden="1">'MT-ETUS'!$Z:$AL</definedName>
    <definedName name="Z_FE4792CB_B919_4F54_9754_D4BC1B90FDF0_.wvu.FilterData" localSheetId="3" hidden="1">'Lista de chequeo MT'!$L$1:$Y$436</definedName>
    <definedName name="Z_FE4792CB_B919_4F54_9754_D4BC1B90FDF0_.wvu.FilterData" localSheetId="0" hidden="1">'MT-ETUS'!$AA$1:$AJ$407</definedName>
    <definedName name="Z_FE4792CB_B919_4F54_9754_D4BC1B90FDF0_.wvu.FilterData" localSheetId="4" hidden="1">'Revisión de planos'!$I$1:$V$106</definedName>
    <definedName name="Z_FE4792CB_B919_4F54_9754_D4BC1B90FDF0_.wvu.PrintArea" localSheetId="3" hidden="1">'Lista de chequeo MT'!$A$2:$J$423</definedName>
    <definedName name="Z_FE4792CB_B919_4F54_9754_D4BC1B90FDF0_.wvu.PrintArea" localSheetId="4" hidden="1">'Revisión de planos'!$A$1:$G$100</definedName>
    <definedName name="Z_FE4792CB_B919_4F54_9754_D4BC1B90FDF0_.wvu.PrintTitles" localSheetId="3" hidden="1">'Lista de chequeo MT'!$3:$3</definedName>
  </definedNames>
  <calcPr calcId="145621"/>
  <customWorkbookViews>
    <customWorkbookView name="ursea" guid="{FE4792CB-B919-4F54-9754-D4BC1B90FDF0}" maximized="1" windowWidth="1348" windowHeight="498" activeSheetId="26"/>
  </customWorkbookViews>
</workbook>
</file>

<file path=xl/calcChain.xml><?xml version="1.0" encoding="utf-8"?>
<calcChain xmlns="http://schemas.openxmlformats.org/spreadsheetml/2006/main">
  <c r="D223" i="36" l="1"/>
  <c r="E223" i="36"/>
  <c r="F223" i="36"/>
  <c r="G223" i="36"/>
  <c r="H223" i="36"/>
  <c r="I223" i="36"/>
  <c r="J223" i="36"/>
  <c r="K223" i="36"/>
  <c r="L223" i="36"/>
  <c r="M223" i="36"/>
  <c r="N223" i="36"/>
  <c r="O223" i="36"/>
  <c r="C223" i="36"/>
  <c r="F265" i="40" l="1"/>
  <c r="F285" i="40"/>
  <c r="F141" i="40" l="1"/>
  <c r="F142" i="40" s="1"/>
  <c r="F140" i="40"/>
  <c r="F139" i="40"/>
  <c r="F138" i="40"/>
  <c r="F137" i="40"/>
  <c r="F136" i="40"/>
  <c r="F134" i="40"/>
  <c r="F128" i="40"/>
  <c r="F127" i="40"/>
  <c r="F124" i="40"/>
  <c r="F123" i="40"/>
  <c r="F121" i="40"/>
  <c r="F120" i="40"/>
  <c r="F113" i="40"/>
  <c r="R285" i="26"/>
  <c r="F129" i="40" s="1"/>
  <c r="M285" i="26"/>
  <c r="F94" i="40"/>
  <c r="F91" i="40"/>
  <c r="F86" i="40"/>
  <c r="F87" i="40"/>
  <c r="F88" i="40"/>
  <c r="F89" i="40"/>
  <c r="F90" i="40"/>
  <c r="F85" i="40"/>
  <c r="F118" i="40"/>
  <c r="F117" i="40"/>
  <c r="F116" i="40"/>
  <c r="F115" i="40"/>
  <c r="F107" i="40"/>
  <c r="F106" i="40"/>
  <c r="F103" i="40"/>
  <c r="F102" i="40"/>
  <c r="F100" i="40"/>
  <c r="F99" i="40"/>
  <c r="F67" i="40"/>
  <c r="F71" i="40"/>
  <c r="F84" i="40"/>
  <c r="F80" i="40"/>
  <c r="F77" i="40"/>
  <c r="F78" i="40"/>
  <c r="F76" i="40"/>
  <c r="F92" i="40"/>
  <c r="F75" i="40"/>
  <c r="F72" i="40"/>
  <c r="F70" i="40"/>
  <c r="F69" i="40"/>
  <c r="F68" i="40"/>
  <c r="F66" i="40"/>
  <c r="F65" i="40"/>
  <c r="F64" i="40"/>
  <c r="F63" i="40"/>
  <c r="F62" i="40"/>
  <c r="F61" i="40"/>
  <c r="F60" i="40"/>
  <c r="F58" i="40"/>
  <c r="F57" i="40"/>
  <c r="F56" i="40"/>
  <c r="F54" i="40"/>
  <c r="F53" i="40"/>
  <c r="F52" i="40"/>
  <c r="F51" i="40"/>
  <c r="F50" i="40"/>
  <c r="AB386" i="26" l="1"/>
  <c r="AC386" i="26"/>
  <c r="AD386" i="26"/>
  <c r="AE386" i="26"/>
  <c r="AG386" i="26"/>
  <c r="AH386" i="26"/>
  <c r="AI386" i="26"/>
  <c r="AJ386" i="26"/>
  <c r="AB387" i="26"/>
  <c r="AC387" i="26"/>
  <c r="AD387" i="26"/>
  <c r="AE387" i="26"/>
  <c r="AG387" i="26"/>
  <c r="AH387" i="26"/>
  <c r="AI387" i="26"/>
  <c r="AJ387" i="26"/>
  <c r="AB388" i="26"/>
  <c r="AC388" i="26"/>
  <c r="AC389" i="26" s="1"/>
  <c r="AD388" i="26"/>
  <c r="AE388" i="26"/>
  <c r="AE389" i="26" s="1"/>
  <c r="AG388" i="26"/>
  <c r="AH388" i="26"/>
  <c r="AI388" i="26"/>
  <c r="AJ388" i="26"/>
  <c r="AA387" i="26"/>
  <c r="AA388" i="26"/>
  <c r="Q426" i="40"/>
  <c r="R426" i="40"/>
  <c r="S426" i="40"/>
  <c r="T426" i="40"/>
  <c r="V426" i="40"/>
  <c r="W426" i="40"/>
  <c r="X426" i="40"/>
  <c r="Y426" i="40"/>
  <c r="Q427" i="40"/>
  <c r="R427" i="40"/>
  <c r="S427" i="40"/>
  <c r="T427" i="40"/>
  <c r="V427" i="40"/>
  <c r="W427" i="40"/>
  <c r="X427" i="40"/>
  <c r="Y427" i="40"/>
  <c r="Q428" i="40"/>
  <c r="R428" i="40"/>
  <c r="S428" i="40"/>
  <c r="T428" i="40"/>
  <c r="V428" i="40"/>
  <c r="W428" i="40"/>
  <c r="X428" i="40"/>
  <c r="Y428" i="40"/>
  <c r="P428" i="40"/>
  <c r="P427" i="40"/>
  <c r="N103" i="41"/>
  <c r="O103" i="41"/>
  <c r="P103" i="41"/>
  <c r="Q103" i="41"/>
  <c r="S103" i="41"/>
  <c r="T103" i="41"/>
  <c r="U103" i="41"/>
  <c r="V103" i="41"/>
  <c r="N104" i="41"/>
  <c r="O104" i="41"/>
  <c r="P104" i="41"/>
  <c r="Q104" i="41"/>
  <c r="S104" i="41"/>
  <c r="T104" i="41"/>
  <c r="U104" i="41"/>
  <c r="V104" i="41"/>
  <c r="N105" i="41"/>
  <c r="O105" i="41"/>
  <c r="P105" i="41"/>
  <c r="Q105" i="41"/>
  <c r="S105" i="41"/>
  <c r="T105" i="41"/>
  <c r="U105" i="41"/>
  <c r="V105" i="41"/>
  <c r="M104" i="41"/>
  <c r="M105" i="41"/>
  <c r="M103" i="41"/>
  <c r="AJ389" i="26" l="1"/>
  <c r="AG389" i="26"/>
  <c r="AB389" i="26"/>
  <c r="AD389" i="26"/>
  <c r="AI389" i="26"/>
  <c r="AH389" i="26"/>
  <c r="W429" i="40"/>
  <c r="X429" i="40"/>
  <c r="R429" i="40"/>
  <c r="Y429" i="40"/>
  <c r="V429" i="40"/>
  <c r="S429" i="40"/>
  <c r="T429" i="40"/>
  <c r="Q429" i="40"/>
  <c r="F367" i="40"/>
  <c r="F369" i="40"/>
  <c r="F366" i="40"/>
  <c r="F365" i="40"/>
  <c r="F363" i="40"/>
  <c r="F360" i="40"/>
  <c r="F359" i="40"/>
  <c r="F357" i="40"/>
  <c r="F355" i="40"/>
  <c r="F354" i="40"/>
  <c r="F353" i="40"/>
  <c r="F348" i="40"/>
  <c r="F347" i="40"/>
  <c r="F349" i="40"/>
  <c r="F346" i="40"/>
  <c r="F342" i="40"/>
  <c r="F341" i="40"/>
  <c r="F337" i="40"/>
  <c r="F338" i="40"/>
  <c r="F334" i="40"/>
  <c r="F333" i="40"/>
  <c r="F331" i="40"/>
  <c r="F330" i="40"/>
  <c r="F336" i="40"/>
  <c r="F329" i="40"/>
  <c r="F328" i="40"/>
  <c r="F321" i="40"/>
  <c r="F322" i="40"/>
  <c r="F323" i="40"/>
  <c r="F324" i="40"/>
  <c r="F325" i="40"/>
  <c r="F326" i="40"/>
  <c r="F327" i="40"/>
  <c r="F320" i="40"/>
  <c r="F315" i="40"/>
  <c r="F314" i="40"/>
  <c r="F302" i="40"/>
  <c r="F301" i="40"/>
  <c r="F300" i="40"/>
  <c r="F294" i="40"/>
  <c r="F299" i="40"/>
  <c r="F297" i="40"/>
  <c r="F296" i="40"/>
  <c r="F295" i="40"/>
  <c r="F292" i="40"/>
  <c r="F291" i="40"/>
  <c r="F290" i="40"/>
  <c r="F289" i="40"/>
  <c r="F288" i="40"/>
  <c r="F287" i="40"/>
  <c r="F286" i="40"/>
  <c r="F284" i="40"/>
  <c r="F283" i="40"/>
  <c r="F274" i="40"/>
  <c r="F264" i="40"/>
  <c r="F263" i="40"/>
  <c r="F262" i="40"/>
  <c r="F261" i="40"/>
  <c r="F259" i="40"/>
  <c r="F258" i="40"/>
  <c r="F256" i="40"/>
  <c r="F255" i="40"/>
  <c r="F244" i="40"/>
  <c r="F243" i="40"/>
  <c r="F242" i="40"/>
  <c r="F241" i="40"/>
  <c r="F240" i="40"/>
  <c r="F239" i="40"/>
  <c r="F238" i="40"/>
  <c r="F213" i="40"/>
  <c r="E211" i="40"/>
  <c r="E210" i="40"/>
  <c r="F206" i="40"/>
  <c r="F205" i="40"/>
  <c r="F203" i="40"/>
  <c r="F211" i="40" s="1"/>
  <c r="F204" i="40"/>
  <c r="F202" i="40"/>
  <c r="F201" i="40"/>
  <c r="F200" i="40"/>
  <c r="F199" i="40"/>
  <c r="F210" i="40" s="1"/>
  <c r="F198" i="40"/>
  <c r="F197" i="40"/>
  <c r="F195" i="40"/>
  <c r="F193" i="40"/>
  <c r="F192" i="40"/>
  <c r="F190" i="40"/>
  <c r="F191" i="40"/>
  <c r="F189" i="40"/>
  <c r="F188" i="40"/>
  <c r="F184" i="40"/>
  <c r="F185" i="40"/>
  <c r="F186" i="40"/>
  <c r="F187" i="40"/>
  <c r="F183" i="40"/>
  <c r="F180" i="40"/>
  <c r="F175" i="40"/>
  <c r="F176" i="40"/>
  <c r="F177" i="40"/>
  <c r="F178" i="40"/>
  <c r="F179" i="40"/>
  <c r="F181" i="40"/>
  <c r="F174" i="40"/>
  <c r="F173" i="40"/>
  <c r="F171" i="40"/>
  <c r="F166" i="40"/>
  <c r="F170" i="40"/>
  <c r="F165" i="40"/>
  <c r="F152" i="40"/>
  <c r="J2" i="40" l="1"/>
  <c r="F182" i="40"/>
  <c r="F172" i="40"/>
  <c r="F145" i="40"/>
  <c r="F46" i="40"/>
  <c r="F38" i="40"/>
  <c r="F32" i="40" l="1"/>
  <c r="F33" i="40"/>
  <c r="F34" i="40"/>
  <c r="F35" i="40"/>
  <c r="F36" i="40"/>
  <c r="F37" i="40"/>
  <c r="F31" i="40"/>
  <c r="F19" i="40"/>
  <c r="F418" i="40"/>
  <c r="F417" i="40"/>
  <c r="F416" i="40"/>
  <c r="F415" i="40"/>
  <c r="F413" i="40"/>
  <c r="F411" i="40"/>
  <c r="F408" i="40"/>
  <c r="F407" i="40"/>
  <c r="F406" i="40"/>
  <c r="F404" i="40"/>
  <c r="F403" i="40"/>
  <c r="F402" i="40"/>
  <c r="F401" i="40"/>
  <c r="F399" i="40"/>
  <c r="F398" i="40"/>
  <c r="F397" i="40"/>
  <c r="F396" i="40"/>
  <c r="F395" i="40"/>
  <c r="F393" i="40"/>
  <c r="F384" i="40"/>
  <c r="F378" i="40"/>
  <c r="F377" i="40"/>
  <c r="F375" i="40" l="1"/>
  <c r="F374" i="40"/>
  <c r="F373" i="40"/>
  <c r="F372" i="40"/>
  <c r="F371" i="40"/>
  <c r="J434" i="40"/>
  <c r="J433" i="40"/>
  <c r="J432" i="40"/>
  <c r="J431" i="40"/>
  <c r="J430" i="40"/>
  <c r="N429" i="40"/>
  <c r="J429" i="40"/>
  <c r="J428" i="40"/>
  <c r="P426" i="40"/>
  <c r="F352" i="40"/>
  <c r="F45" i="40"/>
  <c r="F43" i="40"/>
  <c r="F39" i="40"/>
  <c r="F44" i="40"/>
  <c r="F42" i="40"/>
  <c r="F41" i="40"/>
  <c r="F40" i="40"/>
  <c r="P429" i="40" l="1"/>
  <c r="J436" i="40"/>
  <c r="W230" i="26" l="1"/>
  <c r="W229" i="26"/>
  <c r="W227" i="26"/>
  <c r="W221" i="26"/>
  <c r="W216" i="26"/>
  <c r="W214" i="26"/>
  <c r="W213" i="26"/>
  <c r="W210" i="26"/>
  <c r="U138" i="26" l="1"/>
  <c r="U137" i="26"/>
  <c r="O138" i="26"/>
  <c r="O137" i="26"/>
  <c r="K30" i="26" l="1"/>
  <c r="I31" i="26"/>
  <c r="F382" i="40" s="1"/>
  <c r="AA386" i="26"/>
  <c r="AA389" i="26" s="1"/>
  <c r="Z1" i="26" l="1"/>
  <c r="Z3" i="26" s="1"/>
  <c r="A1" i="41" s="1"/>
  <c r="A2" i="40" l="1"/>
  <c r="O3" i="40" s="1"/>
  <c r="O397" i="40" s="1"/>
  <c r="L3" i="41"/>
  <c r="Z36" i="26"/>
  <c r="Z34" i="26"/>
  <c r="Z35" i="26"/>
  <c r="Z384" i="26"/>
  <c r="Z59" i="26"/>
  <c r="Z15" i="26"/>
  <c r="Z66" i="26"/>
  <c r="Z90" i="26"/>
  <c r="Z153" i="26"/>
  <c r="Z227" i="26"/>
  <c r="Z265" i="26"/>
  <c r="Z324" i="26"/>
  <c r="Z385" i="26"/>
  <c r="Z11" i="26"/>
  <c r="Z30" i="26"/>
  <c r="Z45" i="26"/>
  <c r="Z73" i="26"/>
  <c r="Z138" i="26"/>
  <c r="Z18" i="26"/>
  <c r="Z31" i="26"/>
  <c r="Z63" i="26"/>
  <c r="Z75" i="26"/>
  <c r="Z86" i="26"/>
  <c r="Z102" i="26"/>
  <c r="Z123" i="26"/>
  <c r="Z145" i="26"/>
  <c r="Z161" i="26"/>
  <c r="Z182" i="26"/>
  <c r="Z198" i="26"/>
  <c r="Z217" i="26"/>
  <c r="Z238" i="26"/>
  <c r="Z254" i="26"/>
  <c r="Z275" i="26"/>
  <c r="Z294" i="26"/>
  <c r="Z316" i="26"/>
  <c r="Z337" i="26"/>
  <c r="Z358" i="26"/>
  <c r="Z377" i="26"/>
  <c r="Z20" i="26"/>
  <c r="Z43" i="26"/>
  <c r="Z71" i="26"/>
  <c r="Z134" i="26"/>
  <c r="Z190" i="26"/>
  <c r="Z246" i="26"/>
  <c r="Z305" i="26"/>
  <c r="Z345" i="26"/>
  <c r="Z5" i="26"/>
  <c r="Z16" i="26"/>
  <c r="Z67" i="26"/>
  <c r="Z84" i="26"/>
  <c r="Z119" i="26"/>
  <c r="Z7" i="26"/>
  <c r="Z12" i="26"/>
  <c r="Z26" i="26"/>
  <c r="Z41" i="26"/>
  <c r="Z47" i="26"/>
  <c r="Z69" i="26"/>
  <c r="Z8" i="26"/>
  <c r="Z14" i="26"/>
  <c r="Z19" i="26"/>
  <c r="Z27" i="26"/>
  <c r="Z33" i="26"/>
  <c r="Z42" i="26"/>
  <c r="Z48" i="26"/>
  <c r="Z65" i="26"/>
  <c r="Z70" i="26"/>
  <c r="Z76" i="26"/>
  <c r="Z88" i="26"/>
  <c r="Z108" i="26"/>
  <c r="Z130" i="26"/>
  <c r="Z149" i="26"/>
  <c r="Z167" i="26"/>
  <c r="Z186" i="26"/>
  <c r="Z205" i="26"/>
  <c r="Z223" i="26"/>
  <c r="Z242" i="26"/>
  <c r="Z261" i="26"/>
  <c r="Z279" i="26"/>
  <c r="Z298" i="26"/>
  <c r="Z320" i="26"/>
  <c r="Z341" i="26"/>
  <c r="Z362" i="26"/>
  <c r="Z381" i="26"/>
  <c r="Z10" i="26"/>
  <c r="Z29" i="26"/>
  <c r="Z82" i="26"/>
  <c r="Z115" i="26"/>
  <c r="Z171" i="26"/>
  <c r="Z209" i="26"/>
  <c r="Z286" i="26"/>
  <c r="Z366" i="26"/>
  <c r="Z25" i="26"/>
  <c r="Z62" i="26"/>
  <c r="Z94" i="26"/>
  <c r="Z157" i="26"/>
  <c r="Z175" i="26"/>
  <c r="Z194" i="26"/>
  <c r="Z213" i="26"/>
  <c r="Z231" i="26"/>
  <c r="Z250" i="26"/>
  <c r="Z269" i="26"/>
  <c r="Z290" i="26"/>
  <c r="Z309" i="26"/>
  <c r="Z330" i="26"/>
  <c r="Z354" i="26"/>
  <c r="Z370" i="26"/>
  <c r="Z83" i="26"/>
  <c r="Z87" i="26"/>
  <c r="Z91" i="26"/>
  <c r="Z98" i="26"/>
  <c r="Z104" i="26"/>
  <c r="Z109" i="26"/>
  <c r="Z116" i="26"/>
  <c r="Z120" i="26"/>
  <c r="Z124" i="26"/>
  <c r="Z131" i="26"/>
  <c r="Z135" i="26"/>
  <c r="Z142" i="26"/>
  <c r="Z146" i="26"/>
  <c r="Z150" i="26"/>
  <c r="Z154" i="26"/>
  <c r="Z158" i="26"/>
  <c r="Z162" i="26"/>
  <c r="Z168" i="26"/>
  <c r="Z172" i="26"/>
  <c r="Z176" i="26"/>
  <c r="Z183" i="26"/>
  <c r="Z187" i="26"/>
  <c r="Z191" i="26"/>
  <c r="Z195" i="26"/>
  <c r="Z199" i="26"/>
  <c r="Z206" i="26"/>
  <c r="Z210" i="26"/>
  <c r="Z214" i="26"/>
  <c r="Z218" i="26"/>
  <c r="Z224" i="26"/>
  <c r="Z228" i="26"/>
  <c r="Z232" i="26"/>
  <c r="Z239" i="26"/>
  <c r="Z243" i="26"/>
  <c r="Z247" i="26"/>
  <c r="Z251" i="26"/>
  <c r="Z255" i="26"/>
  <c r="Z262" i="26"/>
  <c r="Z266" i="26"/>
  <c r="Z270" i="26"/>
  <c r="Z276" i="26"/>
  <c r="Z283" i="26"/>
  <c r="Z287" i="26"/>
  <c r="Z291" i="26"/>
  <c r="Z295" i="26"/>
  <c r="Z299" i="26"/>
  <c r="Z306" i="26"/>
  <c r="Z310" i="26"/>
  <c r="Z317" i="26"/>
  <c r="Z321" i="26"/>
  <c r="Z325" i="26"/>
  <c r="Z331" i="26"/>
  <c r="Z338" i="26"/>
  <c r="Z342" i="26"/>
  <c r="Z346" i="26"/>
  <c r="Z355" i="26"/>
  <c r="Z359" i="26"/>
  <c r="Z363" i="26"/>
  <c r="Z367" i="26"/>
  <c r="Z371" i="26"/>
  <c r="Z378" i="26"/>
  <c r="Z382" i="26"/>
  <c r="Z92" i="26"/>
  <c r="Z99" i="26"/>
  <c r="Z105" i="26"/>
  <c r="Z112" i="26"/>
  <c r="Z117" i="26"/>
  <c r="Z121" i="26"/>
  <c r="Z125" i="26"/>
  <c r="Z132" i="26"/>
  <c r="Z136" i="26"/>
  <c r="Z143" i="26"/>
  <c r="Z147" i="26"/>
  <c r="Z151" i="26"/>
  <c r="Z155" i="26"/>
  <c r="Z159" i="26"/>
  <c r="Z163" i="26"/>
  <c r="Z169" i="26"/>
  <c r="Z173" i="26"/>
  <c r="Z180" i="26"/>
  <c r="Z184" i="26"/>
  <c r="Z188" i="26"/>
  <c r="Z192" i="26"/>
  <c r="Z196" i="26"/>
  <c r="Z200" i="26"/>
  <c r="Z207" i="26"/>
  <c r="Z211" i="26"/>
  <c r="Z215" i="26"/>
  <c r="Z221" i="26"/>
  <c r="Z225" i="26"/>
  <c r="Z229" i="26"/>
  <c r="Z236" i="26"/>
  <c r="Z240" i="26"/>
  <c r="Z244" i="26"/>
  <c r="Z248" i="26"/>
  <c r="Z252" i="26"/>
  <c r="Z259" i="26"/>
  <c r="Z263" i="26"/>
  <c r="Z267" i="26"/>
  <c r="Z271" i="26"/>
  <c r="Z277" i="26"/>
  <c r="Z284" i="26"/>
  <c r="Z288" i="26"/>
  <c r="Z292" i="26"/>
  <c r="Z296" i="26"/>
  <c r="Z303" i="26"/>
  <c r="Z307" i="26"/>
  <c r="Z311" i="26"/>
  <c r="Z318" i="26"/>
  <c r="Z322" i="26"/>
  <c r="Z326" i="26"/>
  <c r="Z335" i="26"/>
  <c r="Z339" i="26"/>
  <c r="Z343" i="26"/>
  <c r="Z347" i="26"/>
  <c r="Z356" i="26"/>
  <c r="Z360" i="26"/>
  <c r="Z364" i="26"/>
  <c r="Z368" i="26"/>
  <c r="Z372" i="26"/>
  <c r="Z379" i="26"/>
  <c r="Z383" i="26"/>
  <c r="Z9" i="26"/>
  <c r="Z13" i="26"/>
  <c r="Z17" i="26"/>
  <c r="Z21" i="26"/>
  <c r="Z28" i="26"/>
  <c r="Z32" i="26"/>
  <c r="Z44" i="26"/>
  <c r="Z49" i="26"/>
  <c r="Z64" i="26"/>
  <c r="Z68" i="26"/>
  <c r="Z72" i="26"/>
  <c r="Z81" i="26"/>
  <c r="Z85" i="26"/>
  <c r="Z89" i="26"/>
  <c r="Z93" i="26"/>
  <c r="Z100" i="26"/>
  <c r="Z107" i="26"/>
  <c r="Z113" i="26"/>
  <c r="Z118" i="26"/>
  <c r="Z122" i="26"/>
  <c r="Z129" i="26"/>
  <c r="Z133" i="26"/>
  <c r="Z137" i="26"/>
  <c r="Z144" i="26"/>
  <c r="Z148" i="26"/>
  <c r="Z152" i="26"/>
  <c r="Z156" i="26"/>
  <c r="Z160" i="26"/>
  <c r="Z164" i="26"/>
  <c r="Z170" i="26"/>
  <c r="Z174" i="26"/>
  <c r="Z181" i="26"/>
  <c r="Z185" i="26"/>
  <c r="Z189" i="26"/>
  <c r="Z193" i="26"/>
  <c r="Z197" i="26"/>
  <c r="Z201" i="26"/>
  <c r="Z208" i="26"/>
  <c r="Z212" i="26"/>
  <c r="Z216" i="26"/>
  <c r="Z222" i="26"/>
  <c r="Z226" i="26"/>
  <c r="Z230" i="26"/>
  <c r="Z237" i="26"/>
  <c r="Z241" i="26"/>
  <c r="Z245" i="26"/>
  <c r="Z249" i="26"/>
  <c r="Z253" i="26"/>
  <c r="Z260" i="26"/>
  <c r="Z264" i="26"/>
  <c r="Z268" i="26"/>
  <c r="Z272" i="26"/>
  <c r="Z278" i="26"/>
  <c r="Z285" i="26"/>
  <c r="Z289" i="26"/>
  <c r="Z293" i="26"/>
  <c r="Z297" i="26"/>
  <c r="Z304" i="26"/>
  <c r="Z308" i="26"/>
  <c r="Z312" i="26"/>
  <c r="Z319" i="26"/>
  <c r="Z323" i="26"/>
  <c r="Z329" i="26"/>
  <c r="Z336" i="26"/>
  <c r="Z340" i="26"/>
  <c r="Z344" i="26"/>
  <c r="Z348" i="26"/>
  <c r="Z357" i="26"/>
  <c r="Z361" i="26"/>
  <c r="Z365" i="26"/>
  <c r="Z369" i="26"/>
  <c r="Z373" i="26"/>
  <c r="Z380" i="26"/>
  <c r="O100" i="40" l="1"/>
  <c r="O131" i="40"/>
  <c r="O421" i="40"/>
  <c r="O72" i="40"/>
  <c r="O43" i="40"/>
  <c r="O244" i="40"/>
  <c r="O369" i="40"/>
  <c r="O28" i="40"/>
  <c r="O16" i="40"/>
  <c r="O303" i="40"/>
  <c r="O65" i="40"/>
  <c r="O42" i="40"/>
  <c r="O47" i="40"/>
  <c r="O280" i="40"/>
  <c r="O238" i="40"/>
  <c r="O91" i="40"/>
  <c r="O77" i="40"/>
  <c r="O150" i="40"/>
  <c r="O184" i="40"/>
  <c r="O264" i="40"/>
  <c r="O316" i="40"/>
  <c r="O239" i="40"/>
  <c r="O142" i="40"/>
  <c r="O155" i="40"/>
  <c r="O175" i="40"/>
  <c r="O210" i="40"/>
  <c r="O226" i="40"/>
  <c r="O350" i="40"/>
  <c r="O108" i="40"/>
  <c r="O95" i="40"/>
  <c r="O373" i="40"/>
  <c r="O321" i="40"/>
  <c r="O40" i="40"/>
  <c r="O165" i="40"/>
  <c r="O221" i="40"/>
  <c r="O243" i="40"/>
  <c r="O228" i="40"/>
  <c r="O145" i="40"/>
  <c r="O38" i="40"/>
  <c r="O203" i="40"/>
  <c r="O267" i="40"/>
  <c r="O29" i="40"/>
  <c r="O297" i="40"/>
  <c r="O174" i="40"/>
  <c r="O5" i="40"/>
  <c r="O338" i="40"/>
  <c r="O101" i="40"/>
  <c r="O220" i="40"/>
  <c r="O83" i="40"/>
  <c r="O75" i="40"/>
  <c r="O195" i="40"/>
  <c r="O27" i="40"/>
  <c r="O130" i="40"/>
  <c r="O348" i="40"/>
  <c r="O32" i="40"/>
  <c r="O44" i="40"/>
  <c r="O315" i="40"/>
  <c r="O57" i="40"/>
  <c r="O139" i="40"/>
  <c r="O365" i="40"/>
  <c r="O49" i="40"/>
  <c r="O111" i="40"/>
  <c r="O342" i="40"/>
  <c r="O227" i="40"/>
  <c r="O271" i="40"/>
  <c r="O45" i="40"/>
  <c r="O22" i="40"/>
  <c r="O170" i="40"/>
  <c r="O126" i="40"/>
  <c r="O401" i="40"/>
  <c r="O25" i="40"/>
  <c r="O161" i="40"/>
  <c r="O152" i="40"/>
  <c r="O289" i="40"/>
  <c r="O9" i="40"/>
  <c r="O97" i="40"/>
  <c r="O376" i="40"/>
  <c r="O36" i="40"/>
  <c r="O119" i="40"/>
  <c r="O116" i="40"/>
  <c r="O225" i="40"/>
  <c r="O81" i="40"/>
  <c r="O396" i="40"/>
  <c r="O252" i="40"/>
  <c r="O249" i="40"/>
  <c r="O96" i="40"/>
  <c r="O418" i="40"/>
  <c r="O182" i="40"/>
  <c r="O399" i="40"/>
  <c r="O124" i="40"/>
  <c r="O279" i="40"/>
  <c r="O105" i="40"/>
  <c r="O78" i="40"/>
  <c r="O335" i="40"/>
  <c r="O389" i="40"/>
  <c r="O18" i="40"/>
  <c r="O268" i="40"/>
  <c r="O34" i="40"/>
  <c r="O104" i="40"/>
  <c r="O19" i="40"/>
  <c r="O46" i="40"/>
  <c r="O177" i="40"/>
  <c r="O255" i="40"/>
  <c r="O67" i="40"/>
  <c r="O63" i="40"/>
  <c r="O58" i="40"/>
  <c r="O138" i="40"/>
  <c r="O298" i="40"/>
  <c r="O92" i="40"/>
  <c r="O74" i="40"/>
  <c r="O379" i="40"/>
  <c r="O15" i="40"/>
  <c r="O50" i="40"/>
  <c r="O70" i="40"/>
  <c r="O89" i="40"/>
  <c r="O178" i="40"/>
  <c r="O169" i="40"/>
  <c r="O387" i="40"/>
  <c r="O7" i="40"/>
  <c r="O31" i="40"/>
  <c r="O85" i="40"/>
  <c r="O274" i="40"/>
  <c r="O294" i="40"/>
  <c r="O362" i="40"/>
  <c r="O87" i="40"/>
  <c r="O115" i="40"/>
  <c r="O327" i="40"/>
  <c r="O234" i="40"/>
  <c r="O242" i="40"/>
  <c r="O253" i="40"/>
  <c r="O154" i="40"/>
  <c r="O189" i="40"/>
  <c r="O171" i="40"/>
  <c r="O166" i="40"/>
  <c r="O391" i="40"/>
  <c r="O395" i="40"/>
  <c r="O183" i="40"/>
  <c r="O159" i="40"/>
  <c r="O157" i="40"/>
  <c r="O383" i="40"/>
  <c r="O388" i="40"/>
  <c r="O37" i="40"/>
  <c r="O4" i="40"/>
  <c r="O134" i="40"/>
  <c r="O48" i="40"/>
  <c r="O54" i="40"/>
  <c r="O117" i="40"/>
  <c r="O13" i="40"/>
  <c r="O199" i="40"/>
  <c r="O343" i="40"/>
  <c r="O11" i="40"/>
  <c r="O20" i="40"/>
  <c r="O55" i="40"/>
  <c r="O121" i="40"/>
  <c r="O176" i="40"/>
  <c r="O168" i="40"/>
  <c r="O212" i="40"/>
  <c r="O286" i="40"/>
  <c r="O328" i="40"/>
  <c r="O41" i="40"/>
  <c r="O35" i="40"/>
  <c r="O61" i="40"/>
  <c r="O123" i="40"/>
  <c r="O187" i="40"/>
  <c r="O164" i="40"/>
  <c r="O423" i="40"/>
  <c r="O8" i="40"/>
  <c r="O21" i="40"/>
  <c r="O136" i="40"/>
  <c r="O296" i="40"/>
  <c r="O386" i="40"/>
  <c r="O30" i="40"/>
  <c r="O292" i="40"/>
  <c r="O215" i="40"/>
  <c r="O129" i="40"/>
  <c r="O106" i="40"/>
  <c r="O310" i="40"/>
  <c r="O347" i="40"/>
  <c r="O329" i="40"/>
  <c r="O372" i="40"/>
  <c r="O382" i="40"/>
  <c r="O323" i="40"/>
  <c r="O299" i="40"/>
  <c r="O313" i="40"/>
  <c r="O351" i="40"/>
  <c r="O363" i="40"/>
  <c r="O304" i="40"/>
  <c r="O293" i="40"/>
  <c r="O213" i="40"/>
  <c r="O414" i="40"/>
  <c r="O417" i="40"/>
  <c r="O80" i="40"/>
  <c r="O24" i="40"/>
  <c r="O14" i="40"/>
  <c r="O79" i="40"/>
  <c r="O132" i="40"/>
  <c r="O218" i="40"/>
  <c r="O247" i="40"/>
  <c r="O224" i="40"/>
  <c r="O235" i="40"/>
  <c r="O422" i="40"/>
  <c r="O250" i="40"/>
  <c r="O26" i="40"/>
  <c r="O23" i="40"/>
  <c r="O39" i="40"/>
  <c r="O52" i="40"/>
  <c r="O93" i="40"/>
  <c r="O151" i="40"/>
  <c r="O374" i="40"/>
  <c r="O84" i="40"/>
  <c r="O64" i="40"/>
  <c r="O356" i="40"/>
  <c r="O51" i="40"/>
  <c r="O12" i="40"/>
  <c r="O333" i="40"/>
  <c r="O344" i="40"/>
  <c r="O148" i="40"/>
  <c r="O237" i="40"/>
  <c r="O384" i="40"/>
  <c r="O149" i="40"/>
  <c r="O325" i="40"/>
  <c r="O147" i="40"/>
  <c r="O278" i="40"/>
  <c r="O377" i="40"/>
  <c r="O287" i="40"/>
  <c r="O371" i="40"/>
  <c r="O197" i="40"/>
  <c r="O380" i="40"/>
  <c r="O229" i="40"/>
  <c r="O86" i="40"/>
  <c r="O202" i="40"/>
  <c r="O66" i="40"/>
  <c r="O194" i="40"/>
  <c r="O261" i="40"/>
  <c r="O408" i="40"/>
  <c r="O322" i="40"/>
  <c r="O411" i="40"/>
  <c r="O360" i="40"/>
  <c r="O211" i="40"/>
  <c r="O73" i="40"/>
  <c r="O196" i="40"/>
  <c r="O60" i="40"/>
  <c r="O188" i="40"/>
  <c r="O353" i="40"/>
  <c r="O402" i="40"/>
  <c r="O314" i="40"/>
  <c r="O405" i="40"/>
  <c r="O167" i="40"/>
  <c r="O109" i="40"/>
  <c r="O122" i="40"/>
  <c r="O99" i="40"/>
  <c r="O275" i="40"/>
  <c r="O340" i="40"/>
  <c r="O307" i="40"/>
  <c r="O59" i="40"/>
  <c r="O17" i="40"/>
  <c r="O6" i="40"/>
  <c r="O56" i="40"/>
  <c r="O128" i="40"/>
  <c r="O201" i="40"/>
  <c r="O219" i="40"/>
  <c r="O200" i="40"/>
  <c r="O260" i="40"/>
  <c r="O320" i="40"/>
  <c r="O398" i="40"/>
  <c r="O10" i="40"/>
  <c r="O254" i="40"/>
  <c r="O98" i="40"/>
  <c r="O193" i="40"/>
  <c r="O290" i="40"/>
  <c r="O90" i="40"/>
  <c r="O208" i="40"/>
  <c r="O71" i="40"/>
  <c r="O209" i="40"/>
  <c r="O265" i="40"/>
  <c r="O412" i="40"/>
  <c r="O326" i="40"/>
  <c r="O415" i="40"/>
  <c r="O281" i="40"/>
  <c r="O158" i="40"/>
  <c r="O308" i="40"/>
  <c r="O141" i="40"/>
  <c r="O302" i="40"/>
  <c r="O118" i="40"/>
  <c r="O266" i="40"/>
  <c r="O361" i="40"/>
  <c r="O283" i="40"/>
  <c r="O364" i="40"/>
  <c r="O236" i="40"/>
  <c r="O146" i="40"/>
  <c r="O282" i="40"/>
  <c r="O135" i="40"/>
  <c r="O277" i="40"/>
  <c r="O112" i="40"/>
  <c r="O248" i="40"/>
  <c r="O334" i="40"/>
  <c r="O259" i="40"/>
  <c r="O354" i="40"/>
  <c r="O192" i="40"/>
  <c r="O406" i="40"/>
  <c r="O409" i="40"/>
  <c r="O349" i="40"/>
  <c r="O33" i="40"/>
  <c r="O214" i="40"/>
  <c r="O318" i="40"/>
  <c r="O107" i="40"/>
  <c r="O185" i="40"/>
  <c r="O245" i="40"/>
  <c r="O358" i="40"/>
  <c r="O120" i="40"/>
  <c r="O163" i="40"/>
  <c r="O222" i="40"/>
  <c r="O370" i="40"/>
  <c r="O82" i="40"/>
  <c r="O160" i="40"/>
  <c r="O231" i="40"/>
  <c r="O312" i="40"/>
  <c r="O273" i="40"/>
  <c r="O385" i="40"/>
  <c r="O420" i="40"/>
  <c r="O295" i="40"/>
  <c r="O337" i="40"/>
  <c r="O392" i="40"/>
  <c r="O140" i="40"/>
  <c r="O206" i="40"/>
  <c r="O305" i="40"/>
  <c r="O102" i="40"/>
  <c r="O181" i="40"/>
  <c r="O241" i="40"/>
  <c r="O341" i="40"/>
  <c r="O94" i="40"/>
  <c r="O156" i="40"/>
  <c r="O216" i="40"/>
  <c r="O355" i="40"/>
  <c r="O76" i="40"/>
  <c r="O153" i="40"/>
  <c r="O217" i="40"/>
  <c r="O300" i="40"/>
  <c r="O269" i="40"/>
  <c r="O381" i="40"/>
  <c r="O416" i="40"/>
  <c r="O291" i="40"/>
  <c r="O330" i="40"/>
  <c r="O375" i="40"/>
  <c r="O419" i="40"/>
  <c r="O284" i="40"/>
  <c r="O393" i="40"/>
  <c r="O162" i="40"/>
  <c r="O233" i="40"/>
  <c r="O319" i="40"/>
  <c r="O88" i="40"/>
  <c r="O144" i="40"/>
  <c r="O204" i="40"/>
  <c r="O309" i="40"/>
  <c r="O69" i="40"/>
  <c r="O125" i="40"/>
  <c r="O205" i="40"/>
  <c r="O270" i="40"/>
  <c r="O263" i="40"/>
  <c r="O368" i="40"/>
  <c r="O410" i="40"/>
  <c r="O285" i="40"/>
  <c r="O324" i="40"/>
  <c r="O366" i="40"/>
  <c r="O413" i="40"/>
  <c r="O137" i="40"/>
  <c r="O198" i="40"/>
  <c r="O288" i="40"/>
  <c r="O62" i="40"/>
  <c r="O114" i="40"/>
  <c r="O190" i="40"/>
  <c r="O256" i="40"/>
  <c r="O367" i="40"/>
  <c r="O339" i="40"/>
  <c r="O404" i="40"/>
  <c r="O276" i="40"/>
  <c r="O317" i="40"/>
  <c r="O359" i="40"/>
  <c r="O407" i="40"/>
  <c r="O172" i="40"/>
  <c r="O232" i="40"/>
  <c r="O357" i="40"/>
  <c r="O143" i="40"/>
  <c r="O207" i="40"/>
  <c r="O272" i="40"/>
  <c r="O68" i="40"/>
  <c r="O133" i="40"/>
  <c r="O179" i="40"/>
  <c r="O262" i="40"/>
  <c r="O53" i="40"/>
  <c r="O110" i="40"/>
  <c r="O186" i="40"/>
  <c r="O246" i="40"/>
  <c r="O346" i="40"/>
  <c r="O332" i="40"/>
  <c r="O400" i="40"/>
  <c r="O257" i="40"/>
  <c r="O311" i="40"/>
  <c r="O352" i="40"/>
  <c r="O403" i="40"/>
  <c r="O223" i="40"/>
  <c r="O336" i="40"/>
  <c r="O113" i="40"/>
  <c r="O191" i="40"/>
  <c r="O258" i="40"/>
  <c r="O378" i="40"/>
  <c r="O127" i="40"/>
  <c r="O173" i="40"/>
  <c r="O230" i="40"/>
  <c r="O390" i="40"/>
  <c r="O103" i="40"/>
  <c r="O180" i="40"/>
  <c r="O240" i="40"/>
  <c r="O331" i="40"/>
  <c r="O306" i="40"/>
  <c r="O394" i="40"/>
  <c r="O251" i="40"/>
  <c r="O301" i="40"/>
  <c r="O345" i="40"/>
  <c r="L100" i="41"/>
  <c r="L84" i="41"/>
  <c r="L68" i="41"/>
  <c r="L52" i="41"/>
  <c r="L36" i="41"/>
  <c r="L20" i="41"/>
  <c r="L4" i="41"/>
  <c r="L87" i="41"/>
  <c r="L71" i="41"/>
  <c r="L55" i="41"/>
  <c r="L39" i="41"/>
  <c r="L23" i="41"/>
  <c r="L7" i="41"/>
  <c r="L86" i="41"/>
  <c r="L70" i="41"/>
  <c r="L54" i="41"/>
  <c r="L38" i="41"/>
  <c r="L22" i="41"/>
  <c r="L6" i="41"/>
  <c r="L85" i="41"/>
  <c r="L69" i="41"/>
  <c r="L53" i="41"/>
  <c r="L37" i="41"/>
  <c r="L21" i="41"/>
  <c r="L5" i="41"/>
  <c r="L56" i="41"/>
  <c r="L75" i="41"/>
  <c r="L27" i="41"/>
  <c r="L74" i="41"/>
  <c r="L26" i="41"/>
  <c r="L73" i="41"/>
  <c r="L25" i="41"/>
  <c r="L96" i="41"/>
  <c r="L80" i="41"/>
  <c r="L64" i="41"/>
  <c r="L48" i="41"/>
  <c r="L32" i="41"/>
  <c r="L16" i="41"/>
  <c r="L99" i="41"/>
  <c r="L83" i="41"/>
  <c r="L67" i="41"/>
  <c r="L51" i="41"/>
  <c r="L35" i="41"/>
  <c r="L19" i="41"/>
  <c r="L98" i="41"/>
  <c r="L82" i="41"/>
  <c r="L66" i="41"/>
  <c r="L50" i="41"/>
  <c r="L34" i="41"/>
  <c r="L18" i="41"/>
  <c r="L97" i="41"/>
  <c r="L81" i="41"/>
  <c r="L65" i="41"/>
  <c r="L49" i="41"/>
  <c r="L33" i="41"/>
  <c r="L17" i="41"/>
  <c r="L88" i="41"/>
  <c r="L40" i="41"/>
  <c r="L8" i="41"/>
  <c r="L43" i="41"/>
  <c r="L90" i="41"/>
  <c r="L42" i="41"/>
  <c r="L89" i="41"/>
  <c r="L41" i="41"/>
  <c r="L92" i="41"/>
  <c r="L76" i="41"/>
  <c r="L60" i="41"/>
  <c r="L44" i="41"/>
  <c r="L28" i="41"/>
  <c r="L12" i="41"/>
  <c r="L95" i="41"/>
  <c r="L79" i="41"/>
  <c r="L63" i="41"/>
  <c r="L47" i="41"/>
  <c r="L31" i="41"/>
  <c r="L15" i="41"/>
  <c r="L94" i="41"/>
  <c r="L78" i="41"/>
  <c r="L62" i="41"/>
  <c r="L46" i="41"/>
  <c r="L30" i="41"/>
  <c r="L14" i="41"/>
  <c r="L93" i="41"/>
  <c r="L77" i="41"/>
  <c r="L61" i="41"/>
  <c r="L45" i="41"/>
  <c r="L29" i="41"/>
  <c r="L13" i="41"/>
  <c r="L72" i="41"/>
  <c r="L24" i="41"/>
  <c r="L91" i="41"/>
  <c r="L59" i="41"/>
  <c r="L11" i="41"/>
  <c r="L58" i="41"/>
  <c r="L10" i="41"/>
  <c r="L57" i="41"/>
  <c r="L9" i="41"/>
  <c r="U229" i="26"/>
  <c r="F273" i="40" s="1"/>
  <c r="U227" i="26"/>
  <c r="F271" i="40" s="1"/>
  <c r="U221" i="26"/>
  <c r="F272" i="40" s="1"/>
  <c r="U216" i="26"/>
  <c r="F270" i="40" s="1"/>
  <c r="G59" i="26"/>
  <c r="F419" i="40" s="1"/>
  <c r="J59" i="26" l="1"/>
  <c r="F400" i="40"/>
  <c r="K26" i="26"/>
  <c r="K27" i="26" l="1"/>
  <c r="F381" i="40" s="1"/>
  <c r="F380" i="40"/>
  <c r="K373" i="26"/>
  <c r="W373" i="26" l="1"/>
  <c r="V373" i="26"/>
  <c r="U373" i="26"/>
  <c r="T373" i="26"/>
  <c r="N373" i="26"/>
  <c r="Q373" i="26"/>
  <c r="F108" i="40" l="1"/>
  <c r="O45" i="26"/>
  <c r="M186" i="26"/>
  <c r="F252" i="40" s="1"/>
  <c r="M170" i="26"/>
  <c r="M169" i="26"/>
  <c r="S28" i="26"/>
  <c r="F149" i="40" l="1"/>
  <c r="F147" i="40"/>
  <c r="F150" i="40"/>
  <c r="F148" i="40"/>
  <c r="D497" i="36"/>
  <c r="E497" i="36"/>
  <c r="F497" i="36"/>
  <c r="G497" i="36"/>
  <c r="H497" i="36"/>
  <c r="I497" i="36"/>
  <c r="J497" i="36"/>
  <c r="K497" i="36"/>
  <c r="L497" i="36"/>
  <c r="M497" i="36"/>
  <c r="N497" i="36"/>
  <c r="O497" i="36"/>
  <c r="D498" i="36"/>
  <c r="E498" i="36"/>
  <c r="F498" i="36"/>
  <c r="G498" i="36"/>
  <c r="H498" i="36"/>
  <c r="I498" i="36"/>
  <c r="J498" i="36"/>
  <c r="K498" i="36"/>
  <c r="L498" i="36"/>
  <c r="M498" i="36"/>
  <c r="N498" i="36"/>
  <c r="O498" i="36"/>
  <c r="C498" i="36"/>
  <c r="C497" i="36"/>
  <c r="D472" i="36"/>
  <c r="E472" i="36"/>
  <c r="F472" i="36"/>
  <c r="G472" i="36"/>
  <c r="H472" i="36"/>
  <c r="I472" i="36"/>
  <c r="J472" i="36"/>
  <c r="K472" i="36"/>
  <c r="L472" i="36"/>
  <c r="M472" i="36"/>
  <c r="N472" i="36"/>
  <c r="O472" i="36"/>
  <c r="D473" i="36"/>
  <c r="E473" i="36"/>
  <c r="F473" i="36"/>
  <c r="G473" i="36"/>
  <c r="H473" i="36"/>
  <c r="I473" i="36"/>
  <c r="J473" i="36"/>
  <c r="K473" i="36"/>
  <c r="L473" i="36"/>
  <c r="M473" i="36"/>
  <c r="N473" i="36"/>
  <c r="O473" i="36"/>
  <c r="C473" i="36"/>
  <c r="C472" i="36"/>
  <c r="D447" i="36"/>
  <c r="E447" i="36"/>
  <c r="F447" i="36"/>
  <c r="G447" i="36"/>
  <c r="H447" i="36"/>
  <c r="I447" i="36"/>
  <c r="J447" i="36"/>
  <c r="K447" i="36"/>
  <c r="L447" i="36"/>
  <c r="M447" i="36"/>
  <c r="N447" i="36"/>
  <c r="O447" i="36"/>
  <c r="D448" i="36"/>
  <c r="E448" i="36"/>
  <c r="F448" i="36"/>
  <c r="G448" i="36"/>
  <c r="H448" i="36"/>
  <c r="I448" i="36"/>
  <c r="J448" i="36"/>
  <c r="K448" i="36"/>
  <c r="L448" i="36"/>
  <c r="M448" i="36"/>
  <c r="N448" i="36"/>
  <c r="O448" i="36"/>
  <c r="C448" i="36"/>
  <c r="C447" i="36"/>
  <c r="D423" i="36"/>
  <c r="E423" i="36"/>
  <c r="F423" i="36"/>
  <c r="G423" i="36"/>
  <c r="H423" i="36"/>
  <c r="I423" i="36"/>
  <c r="J423" i="36"/>
  <c r="K423" i="36"/>
  <c r="L423" i="36"/>
  <c r="M423" i="36"/>
  <c r="N423" i="36"/>
  <c r="O423" i="36"/>
  <c r="C423" i="36"/>
  <c r="D397" i="36"/>
  <c r="E397" i="36"/>
  <c r="F397" i="36"/>
  <c r="G397" i="36"/>
  <c r="H397" i="36"/>
  <c r="I397" i="36"/>
  <c r="J397" i="36"/>
  <c r="K397" i="36"/>
  <c r="L397" i="36"/>
  <c r="M397" i="36"/>
  <c r="N397" i="36"/>
  <c r="O397" i="36"/>
  <c r="D398" i="36"/>
  <c r="E398" i="36"/>
  <c r="F398" i="36"/>
  <c r="G398" i="36"/>
  <c r="H398" i="36"/>
  <c r="I398" i="36"/>
  <c r="J398" i="36"/>
  <c r="K398" i="36"/>
  <c r="L398" i="36"/>
  <c r="M398" i="36"/>
  <c r="N398" i="36"/>
  <c r="O398" i="36"/>
  <c r="C398" i="36"/>
  <c r="C397" i="36"/>
  <c r="D372" i="36"/>
  <c r="E372" i="36"/>
  <c r="F372" i="36"/>
  <c r="G372" i="36"/>
  <c r="H372" i="36"/>
  <c r="I372" i="36"/>
  <c r="J372" i="36"/>
  <c r="K372" i="36"/>
  <c r="L372" i="36"/>
  <c r="M372" i="36"/>
  <c r="N372" i="36"/>
  <c r="O372" i="36"/>
  <c r="D373" i="36"/>
  <c r="E373" i="36"/>
  <c r="F373" i="36"/>
  <c r="G373" i="36"/>
  <c r="H373" i="36"/>
  <c r="I373" i="36"/>
  <c r="J373" i="36"/>
  <c r="K373" i="36"/>
  <c r="L373" i="36"/>
  <c r="M373" i="36"/>
  <c r="N373" i="36"/>
  <c r="O373" i="36"/>
  <c r="C373" i="36"/>
  <c r="C372" i="36"/>
  <c r="D347" i="36"/>
  <c r="E347" i="36"/>
  <c r="F347" i="36"/>
  <c r="G347" i="36"/>
  <c r="H347" i="36"/>
  <c r="I347" i="36"/>
  <c r="J347" i="36"/>
  <c r="K347" i="36"/>
  <c r="L347" i="36"/>
  <c r="M347" i="36"/>
  <c r="N347" i="36"/>
  <c r="O347" i="36"/>
  <c r="D348" i="36"/>
  <c r="E348" i="36"/>
  <c r="F348" i="36"/>
  <c r="G348" i="36"/>
  <c r="H348" i="36"/>
  <c r="I348" i="36"/>
  <c r="J348" i="36"/>
  <c r="K348" i="36"/>
  <c r="L348" i="36"/>
  <c r="M348" i="36"/>
  <c r="N348" i="36"/>
  <c r="O348" i="36"/>
  <c r="C348" i="36"/>
  <c r="C347" i="36"/>
  <c r="D323" i="36"/>
  <c r="E323" i="36"/>
  <c r="F323" i="36"/>
  <c r="G323" i="36"/>
  <c r="H323" i="36"/>
  <c r="I323" i="36"/>
  <c r="J323" i="36"/>
  <c r="K323" i="36"/>
  <c r="L323" i="36"/>
  <c r="M323" i="36"/>
  <c r="N323" i="36"/>
  <c r="O323" i="36"/>
  <c r="C323" i="36"/>
  <c r="D297" i="36"/>
  <c r="E297" i="36"/>
  <c r="F297" i="36"/>
  <c r="G297" i="36"/>
  <c r="H297" i="36"/>
  <c r="I297" i="36"/>
  <c r="J297" i="36"/>
  <c r="K297" i="36"/>
  <c r="L297" i="36"/>
  <c r="M297" i="36"/>
  <c r="N297" i="36"/>
  <c r="O297" i="36"/>
  <c r="D298" i="36"/>
  <c r="E298" i="36"/>
  <c r="F298" i="36"/>
  <c r="G298" i="36"/>
  <c r="H298" i="36"/>
  <c r="I298" i="36"/>
  <c r="J298" i="36"/>
  <c r="K298" i="36"/>
  <c r="L298" i="36"/>
  <c r="M298" i="36"/>
  <c r="N298" i="36"/>
  <c r="O298" i="36"/>
  <c r="C298" i="36"/>
  <c r="C297" i="36"/>
  <c r="D272" i="36"/>
  <c r="E272" i="36"/>
  <c r="F272" i="36"/>
  <c r="G272" i="36"/>
  <c r="H272" i="36"/>
  <c r="I272" i="36"/>
  <c r="J272" i="36"/>
  <c r="K272" i="36"/>
  <c r="L272" i="36"/>
  <c r="M272" i="36"/>
  <c r="N272" i="36"/>
  <c r="D273" i="36"/>
  <c r="E273" i="36"/>
  <c r="F273" i="36"/>
  <c r="G273" i="36"/>
  <c r="H273" i="36"/>
  <c r="I273" i="36"/>
  <c r="J273" i="36"/>
  <c r="K273" i="36"/>
  <c r="L273" i="36"/>
  <c r="M273" i="36"/>
  <c r="N273" i="36"/>
  <c r="C273" i="36"/>
  <c r="C272" i="36"/>
  <c r="D248" i="36"/>
  <c r="E248" i="36"/>
  <c r="F248" i="36"/>
  <c r="G248" i="36"/>
  <c r="H248" i="36"/>
  <c r="I248" i="36"/>
  <c r="J248" i="36"/>
  <c r="K248" i="36"/>
  <c r="L248" i="36"/>
  <c r="M248" i="36"/>
  <c r="N248" i="36"/>
  <c r="O248" i="36"/>
  <c r="C248" i="36"/>
  <c r="L197" i="36"/>
  <c r="D198" i="36"/>
  <c r="E198" i="36"/>
  <c r="F198" i="36"/>
  <c r="G198" i="36"/>
  <c r="H198" i="36"/>
  <c r="I198" i="36"/>
  <c r="J198" i="36"/>
  <c r="K198" i="36"/>
  <c r="L198" i="36"/>
  <c r="M198" i="36"/>
  <c r="N198" i="36"/>
  <c r="O198" i="36"/>
  <c r="C198" i="36"/>
  <c r="D173" i="36"/>
  <c r="E173" i="36"/>
  <c r="F173" i="36"/>
  <c r="G173" i="36"/>
  <c r="H173" i="36"/>
  <c r="I173" i="36"/>
  <c r="J173" i="36"/>
  <c r="K173" i="36"/>
  <c r="L173" i="36"/>
  <c r="M173" i="36"/>
  <c r="N173" i="36"/>
  <c r="O173" i="36"/>
  <c r="C173" i="36"/>
  <c r="D147" i="36"/>
  <c r="E147" i="36"/>
  <c r="F147" i="36"/>
  <c r="G147" i="36"/>
  <c r="H147" i="36"/>
  <c r="I147" i="36"/>
  <c r="J147" i="36"/>
  <c r="K147" i="36"/>
  <c r="L147" i="36"/>
  <c r="M147" i="36"/>
  <c r="N147" i="36"/>
  <c r="O147" i="36"/>
  <c r="D148" i="36"/>
  <c r="E148" i="36"/>
  <c r="F148" i="36"/>
  <c r="G148" i="36"/>
  <c r="H148" i="36"/>
  <c r="I148" i="36"/>
  <c r="J148" i="36"/>
  <c r="K148" i="36"/>
  <c r="L148" i="36"/>
  <c r="M148" i="36"/>
  <c r="N148" i="36"/>
  <c r="O148" i="36"/>
  <c r="C148" i="36"/>
  <c r="C147" i="36"/>
  <c r="D122" i="36"/>
  <c r="E122" i="36"/>
  <c r="F122" i="36"/>
  <c r="G122" i="36"/>
  <c r="H122" i="36"/>
  <c r="I122" i="36"/>
  <c r="J122" i="36"/>
  <c r="K122" i="36"/>
  <c r="L122" i="36"/>
  <c r="M122" i="36"/>
  <c r="N122" i="36"/>
  <c r="O122" i="36"/>
  <c r="D123" i="36"/>
  <c r="E123" i="36"/>
  <c r="F123" i="36"/>
  <c r="G123" i="36"/>
  <c r="H123" i="36"/>
  <c r="I123" i="36"/>
  <c r="J123" i="36"/>
  <c r="K123" i="36"/>
  <c r="L123" i="36"/>
  <c r="M123" i="36"/>
  <c r="N123" i="36"/>
  <c r="O123" i="36"/>
  <c r="C123" i="36"/>
  <c r="C122" i="36"/>
  <c r="D97" i="36"/>
  <c r="E97" i="36"/>
  <c r="F97" i="36"/>
  <c r="G97" i="36"/>
  <c r="H97" i="36"/>
  <c r="I97" i="36"/>
  <c r="J97" i="36"/>
  <c r="K97" i="36"/>
  <c r="L97" i="36"/>
  <c r="M97" i="36"/>
  <c r="N97" i="36"/>
  <c r="O97" i="36"/>
  <c r="D98" i="36"/>
  <c r="E98" i="36"/>
  <c r="F98" i="36"/>
  <c r="G98" i="36"/>
  <c r="H98" i="36"/>
  <c r="I98" i="36"/>
  <c r="J98" i="36"/>
  <c r="K98" i="36"/>
  <c r="L98" i="36"/>
  <c r="M98" i="36"/>
  <c r="N98" i="36"/>
  <c r="O98" i="36"/>
  <c r="C98" i="36"/>
  <c r="C97" i="36"/>
  <c r="D72" i="36"/>
  <c r="E72" i="36"/>
  <c r="F72" i="36"/>
  <c r="G72" i="36"/>
  <c r="H72" i="36"/>
  <c r="I72" i="36"/>
  <c r="J72" i="36"/>
  <c r="K72" i="36"/>
  <c r="L72" i="36"/>
  <c r="M72" i="36"/>
  <c r="N72" i="36"/>
  <c r="O72" i="36"/>
  <c r="D73" i="36"/>
  <c r="E73" i="36"/>
  <c r="F73" i="36"/>
  <c r="G73" i="36"/>
  <c r="H73" i="36"/>
  <c r="I73" i="36"/>
  <c r="J73" i="36"/>
  <c r="K73" i="36"/>
  <c r="L73" i="36"/>
  <c r="M73" i="36"/>
  <c r="N73" i="36"/>
  <c r="O73" i="36"/>
  <c r="C73" i="36"/>
  <c r="C72" i="36"/>
  <c r="O47" i="36"/>
  <c r="O48" i="36"/>
  <c r="D47" i="36"/>
  <c r="E47" i="36"/>
  <c r="F47" i="36"/>
  <c r="G47" i="36"/>
  <c r="H47" i="36"/>
  <c r="I47" i="36"/>
  <c r="J47" i="36"/>
  <c r="K47" i="36"/>
  <c r="L47" i="36"/>
  <c r="M47" i="36"/>
  <c r="N47" i="36"/>
  <c r="D48" i="36"/>
  <c r="E48" i="36"/>
  <c r="F48" i="36"/>
  <c r="G48" i="36"/>
  <c r="H48" i="36"/>
  <c r="I48" i="36"/>
  <c r="J48" i="36"/>
  <c r="K48" i="36"/>
  <c r="L48" i="36"/>
  <c r="M48" i="36"/>
  <c r="N48" i="36"/>
  <c r="C48" i="36"/>
  <c r="C47" i="36"/>
  <c r="U8" i="36"/>
  <c r="D197" i="36" s="1"/>
  <c r="V8" i="36"/>
  <c r="E197" i="36" s="1"/>
  <c r="W8" i="36"/>
  <c r="F197" i="36" s="1"/>
  <c r="X8" i="36"/>
  <c r="G197" i="36" s="1"/>
  <c r="Y8" i="36"/>
  <c r="H197" i="36" s="1"/>
  <c r="Z8" i="36"/>
  <c r="I197" i="36" s="1"/>
  <c r="AA8" i="36"/>
  <c r="J197" i="36" s="1"/>
  <c r="AB8" i="36"/>
  <c r="K197" i="36" s="1"/>
  <c r="AC8" i="36"/>
  <c r="AD8" i="36"/>
  <c r="M197" i="36" s="1"/>
  <c r="AE8" i="36"/>
  <c r="N197" i="36" s="1"/>
  <c r="AF8" i="36"/>
  <c r="O197" i="36" s="1"/>
  <c r="U9" i="36"/>
  <c r="D222" i="36" s="1"/>
  <c r="V9" i="36"/>
  <c r="E222" i="36" s="1"/>
  <c r="W9" i="36"/>
  <c r="F222" i="36" s="1"/>
  <c r="X9" i="36"/>
  <c r="G222" i="36" s="1"/>
  <c r="Y9" i="36"/>
  <c r="H222" i="36" s="1"/>
  <c r="Z9" i="36"/>
  <c r="I222" i="36" s="1"/>
  <c r="AA9" i="36"/>
  <c r="J222" i="36" s="1"/>
  <c r="AB9" i="36"/>
  <c r="K222" i="36" s="1"/>
  <c r="AC9" i="36"/>
  <c r="L222" i="36" s="1"/>
  <c r="AD9" i="36"/>
  <c r="M222" i="36" s="1"/>
  <c r="AE9" i="36"/>
  <c r="N222" i="36" s="1"/>
  <c r="AF9" i="36"/>
  <c r="O222" i="36" s="1"/>
  <c r="T8" i="36"/>
  <c r="C197" i="36" s="1"/>
  <c r="T9" i="36"/>
  <c r="C222" i="36" s="1"/>
  <c r="U13" i="36"/>
  <c r="D322" i="36" s="1"/>
  <c r="V13" i="36"/>
  <c r="E322" i="36" s="1"/>
  <c r="W13" i="36"/>
  <c r="F322" i="36" s="1"/>
  <c r="X13" i="36"/>
  <c r="G322" i="36" s="1"/>
  <c r="Y13" i="36"/>
  <c r="H322" i="36" s="1"/>
  <c r="Z13" i="36"/>
  <c r="I322" i="36" s="1"/>
  <c r="AA13" i="36"/>
  <c r="J322" i="36" s="1"/>
  <c r="AB13" i="36"/>
  <c r="K322" i="36" s="1"/>
  <c r="AC13" i="36"/>
  <c r="L322" i="36" s="1"/>
  <c r="AD13" i="36"/>
  <c r="M322" i="36" s="1"/>
  <c r="AE13" i="36"/>
  <c r="N322" i="36" s="1"/>
  <c r="AF13" i="36"/>
  <c r="O322" i="36" s="1"/>
  <c r="T13" i="36"/>
  <c r="C322" i="36" s="1"/>
  <c r="U10" i="36"/>
  <c r="D247" i="36" s="1"/>
  <c r="V10" i="36"/>
  <c r="E247" i="36" s="1"/>
  <c r="W10" i="36"/>
  <c r="F247" i="36" s="1"/>
  <c r="X10" i="36"/>
  <c r="G247" i="36" s="1"/>
  <c r="Y10" i="36"/>
  <c r="H247" i="36" s="1"/>
  <c r="Z10" i="36"/>
  <c r="I247" i="36" s="1"/>
  <c r="AA10" i="36"/>
  <c r="J247" i="36" s="1"/>
  <c r="AB10" i="36"/>
  <c r="K247" i="36" s="1"/>
  <c r="AC10" i="36"/>
  <c r="L247" i="36" s="1"/>
  <c r="AD10" i="36"/>
  <c r="M247" i="36" s="1"/>
  <c r="AE10" i="36"/>
  <c r="N247" i="36" s="1"/>
  <c r="AF10" i="36"/>
  <c r="O247" i="36" s="1"/>
  <c r="T10" i="36"/>
  <c r="C247" i="36" s="1"/>
  <c r="U17" i="36"/>
  <c r="D422" i="36" s="1"/>
  <c r="V17" i="36"/>
  <c r="W17" i="36"/>
  <c r="F422" i="36" s="1"/>
  <c r="X17" i="36"/>
  <c r="X7" i="36" s="1"/>
  <c r="G172" i="36" s="1"/>
  <c r="Y17" i="36"/>
  <c r="H422" i="36" s="1"/>
  <c r="Z17" i="36"/>
  <c r="AA17" i="36"/>
  <c r="J422" i="36" s="1"/>
  <c r="AB17" i="36"/>
  <c r="AC17" i="36"/>
  <c r="L422" i="36" s="1"/>
  <c r="AD17" i="36"/>
  <c r="AE17" i="36"/>
  <c r="N422" i="36" s="1"/>
  <c r="AF17" i="36"/>
  <c r="AF7" i="36" s="1"/>
  <c r="O172" i="36" s="1"/>
  <c r="T17" i="36"/>
  <c r="AB7" i="36" l="1"/>
  <c r="K172" i="36" s="1"/>
  <c r="AE7" i="36"/>
  <c r="N172" i="36" s="1"/>
  <c r="AA7" i="36"/>
  <c r="J172" i="36" s="1"/>
  <c r="O422" i="36"/>
  <c r="K422" i="36"/>
  <c r="G422" i="36"/>
  <c r="AD7" i="36"/>
  <c r="M172" i="36" s="1"/>
  <c r="Z7" i="36"/>
  <c r="I172" i="36" s="1"/>
  <c r="V7" i="36"/>
  <c r="E172" i="36" s="1"/>
  <c r="W7" i="36"/>
  <c r="F172" i="36" s="1"/>
  <c r="T7" i="36"/>
  <c r="C172" i="36" s="1"/>
  <c r="AC7" i="36"/>
  <c r="L172" i="36" s="1"/>
  <c r="Y7" i="36"/>
  <c r="H172" i="36" s="1"/>
  <c r="U7" i="36"/>
  <c r="D172" i="36" s="1"/>
  <c r="C422" i="36"/>
  <c r="M422" i="36"/>
  <c r="I422" i="36"/>
  <c r="E422" i="36"/>
  <c r="A71" i="36"/>
  <c r="A72" i="36"/>
  <c r="A73" i="36"/>
  <c r="A79" i="36"/>
  <c r="A80" i="36"/>
  <c r="A81" i="36"/>
  <c r="A82" i="36"/>
  <c r="A83" i="36"/>
  <c r="A84" i="36"/>
  <c r="A85" i="36"/>
  <c r="A86" i="36"/>
  <c r="A87" i="36"/>
  <c r="A88" i="36"/>
  <c r="A89" i="36"/>
  <c r="A90" i="36"/>
  <c r="A91" i="36"/>
  <c r="A92" i="36"/>
  <c r="A93" i="36"/>
  <c r="A94" i="36"/>
  <c r="A95" i="36"/>
  <c r="A96" i="36"/>
  <c r="A97" i="36"/>
  <c r="A98" i="36"/>
  <c r="A78" i="36"/>
  <c r="A104" i="36"/>
  <c r="A105" i="36"/>
  <c r="A106" i="36"/>
  <c r="A107" i="36"/>
  <c r="A108" i="36"/>
  <c r="A109" i="36"/>
  <c r="A110" i="36"/>
  <c r="A111" i="36"/>
  <c r="A112" i="36"/>
  <c r="A113" i="36"/>
  <c r="A114" i="36"/>
  <c r="A115" i="36"/>
  <c r="A116" i="36"/>
  <c r="A117" i="36"/>
  <c r="A118" i="36"/>
  <c r="A119" i="36"/>
  <c r="A120" i="36"/>
  <c r="A121" i="36"/>
  <c r="A122" i="36"/>
  <c r="A123" i="36"/>
  <c r="A103" i="36"/>
  <c r="A129" i="36"/>
  <c r="A130" i="36"/>
  <c r="A131" i="36"/>
  <c r="A132" i="36"/>
  <c r="A133" i="36"/>
  <c r="A134" i="36"/>
  <c r="A135" i="36"/>
  <c r="A136" i="36"/>
  <c r="A137" i="36"/>
  <c r="A138" i="36"/>
  <c r="A139" i="36"/>
  <c r="A140" i="36"/>
  <c r="A141" i="36"/>
  <c r="A142" i="36"/>
  <c r="A143" i="36"/>
  <c r="A144" i="36"/>
  <c r="A145" i="36"/>
  <c r="A146" i="36"/>
  <c r="A147" i="36"/>
  <c r="A148" i="36"/>
  <c r="A128" i="36"/>
  <c r="A154" i="36"/>
  <c r="A155" i="36"/>
  <c r="A156" i="36"/>
  <c r="A157" i="36"/>
  <c r="A158" i="36"/>
  <c r="A159" i="36"/>
  <c r="A160" i="36"/>
  <c r="A161" i="36"/>
  <c r="A162" i="36"/>
  <c r="A163" i="36"/>
  <c r="A164" i="36"/>
  <c r="A165" i="36"/>
  <c r="A166" i="36"/>
  <c r="A167" i="36"/>
  <c r="A168" i="36"/>
  <c r="A169" i="36"/>
  <c r="A170" i="36"/>
  <c r="A171" i="36"/>
  <c r="A172" i="36"/>
  <c r="A173" i="36"/>
  <c r="A153" i="36"/>
  <c r="A179" i="36"/>
  <c r="A180" i="36"/>
  <c r="A181" i="36"/>
  <c r="A182" i="36"/>
  <c r="A183" i="36"/>
  <c r="A184" i="36"/>
  <c r="A185" i="36"/>
  <c r="A186" i="36"/>
  <c r="A187" i="36"/>
  <c r="A188" i="36"/>
  <c r="A189" i="36"/>
  <c r="A190" i="36"/>
  <c r="A191" i="36"/>
  <c r="A192" i="36"/>
  <c r="A193" i="36"/>
  <c r="A194" i="36"/>
  <c r="A195" i="36"/>
  <c r="A196" i="36"/>
  <c r="A197" i="36"/>
  <c r="A198" i="36"/>
  <c r="A178" i="36"/>
  <c r="A204" i="36"/>
  <c r="A205" i="36"/>
  <c r="A206" i="36"/>
  <c r="A207" i="36"/>
  <c r="A208" i="36"/>
  <c r="A209" i="36"/>
  <c r="A210" i="36"/>
  <c r="A211" i="36"/>
  <c r="A212" i="36"/>
  <c r="A213" i="36"/>
  <c r="A214" i="36"/>
  <c r="A215" i="36"/>
  <c r="A216" i="36"/>
  <c r="A217" i="36"/>
  <c r="A218" i="36"/>
  <c r="A219" i="36"/>
  <c r="A220" i="36"/>
  <c r="A221" i="36"/>
  <c r="A222" i="36"/>
  <c r="A223" i="36"/>
  <c r="A203" i="36"/>
  <c r="A229" i="36"/>
  <c r="A230" i="36"/>
  <c r="A231" i="36"/>
  <c r="A232" i="36"/>
  <c r="A233" i="36"/>
  <c r="A234" i="36"/>
  <c r="A235" i="36"/>
  <c r="A236" i="36"/>
  <c r="A237" i="36"/>
  <c r="A238" i="36"/>
  <c r="A239" i="36"/>
  <c r="A240" i="36"/>
  <c r="A241" i="36"/>
  <c r="A242" i="36"/>
  <c r="A243" i="36"/>
  <c r="A244" i="36"/>
  <c r="A245" i="36"/>
  <c r="A246" i="36"/>
  <c r="A247" i="36"/>
  <c r="A248" i="36"/>
  <c r="A228" i="36"/>
  <c r="A254" i="36"/>
  <c r="A255" i="36"/>
  <c r="A256" i="36"/>
  <c r="A257" i="36"/>
  <c r="A258" i="36"/>
  <c r="A259" i="36"/>
  <c r="A260" i="36"/>
  <c r="A261" i="36"/>
  <c r="A262" i="36"/>
  <c r="A263" i="36"/>
  <c r="A264" i="36"/>
  <c r="A265" i="36"/>
  <c r="A266" i="36"/>
  <c r="A267" i="36"/>
  <c r="A268" i="36"/>
  <c r="A269" i="36"/>
  <c r="A270" i="36"/>
  <c r="A271" i="36"/>
  <c r="A272" i="36"/>
  <c r="A273" i="36"/>
  <c r="A253" i="36"/>
  <c r="A279" i="36"/>
  <c r="A280" i="36"/>
  <c r="A281" i="36"/>
  <c r="A282" i="36"/>
  <c r="A283" i="36"/>
  <c r="A284" i="36"/>
  <c r="A285" i="36"/>
  <c r="A286" i="36"/>
  <c r="A287" i="36"/>
  <c r="A288" i="36"/>
  <c r="A289" i="36"/>
  <c r="A290" i="36"/>
  <c r="A291" i="36"/>
  <c r="A292" i="36"/>
  <c r="A293" i="36"/>
  <c r="A294" i="36"/>
  <c r="A295" i="36"/>
  <c r="A296" i="36"/>
  <c r="A297" i="36"/>
  <c r="A298" i="36"/>
  <c r="A278" i="36"/>
  <c r="A304" i="36"/>
  <c r="A305" i="36"/>
  <c r="A306" i="36"/>
  <c r="A307" i="36"/>
  <c r="A308" i="36"/>
  <c r="A309" i="36"/>
  <c r="A310" i="36"/>
  <c r="A311" i="36"/>
  <c r="A312" i="36"/>
  <c r="A313" i="36"/>
  <c r="A314" i="36"/>
  <c r="A315" i="36"/>
  <c r="A316" i="36"/>
  <c r="A317" i="36"/>
  <c r="A318" i="36"/>
  <c r="A319" i="36"/>
  <c r="A320" i="36"/>
  <c r="A321" i="36"/>
  <c r="A322" i="36"/>
  <c r="A323" i="36"/>
  <c r="A303" i="36"/>
  <c r="A329" i="36"/>
  <c r="A330" i="36"/>
  <c r="A331" i="36"/>
  <c r="A332" i="36"/>
  <c r="A333" i="36"/>
  <c r="A334" i="36"/>
  <c r="A335" i="36"/>
  <c r="A336" i="36"/>
  <c r="A337" i="36"/>
  <c r="A338" i="36"/>
  <c r="A339" i="36"/>
  <c r="A340" i="36"/>
  <c r="A341" i="36"/>
  <c r="A342" i="36"/>
  <c r="A343" i="36"/>
  <c r="A344" i="36"/>
  <c r="A345" i="36"/>
  <c r="A346" i="36"/>
  <c r="A347" i="36"/>
  <c r="A348" i="36"/>
  <c r="A328" i="36"/>
  <c r="A354" i="36"/>
  <c r="A355" i="36"/>
  <c r="A356" i="36"/>
  <c r="A357" i="36"/>
  <c r="A358" i="36"/>
  <c r="A359" i="36"/>
  <c r="A360" i="36"/>
  <c r="A361" i="36"/>
  <c r="A362" i="36"/>
  <c r="A363" i="36"/>
  <c r="A364" i="36"/>
  <c r="A365" i="36"/>
  <c r="A366" i="36"/>
  <c r="A367" i="36"/>
  <c r="A368" i="36"/>
  <c r="A369" i="36"/>
  <c r="A370" i="36"/>
  <c r="A371" i="36"/>
  <c r="A372" i="36"/>
  <c r="A373" i="36"/>
  <c r="A353" i="36"/>
  <c r="A379" i="36"/>
  <c r="A380" i="36"/>
  <c r="A381" i="36"/>
  <c r="A382" i="36"/>
  <c r="A383" i="36"/>
  <c r="A384" i="36"/>
  <c r="A385" i="36"/>
  <c r="A386" i="36"/>
  <c r="A387" i="36"/>
  <c r="A388" i="36"/>
  <c r="A389" i="36"/>
  <c r="A390" i="36"/>
  <c r="A391" i="36"/>
  <c r="A392" i="36"/>
  <c r="A393" i="36"/>
  <c r="A394" i="36"/>
  <c r="A395" i="36"/>
  <c r="A396" i="36"/>
  <c r="A397" i="36"/>
  <c r="A398" i="36"/>
  <c r="A378" i="36"/>
  <c r="A404" i="36"/>
  <c r="A405" i="36"/>
  <c r="A406" i="36"/>
  <c r="A407" i="36"/>
  <c r="A408" i="36"/>
  <c r="A409" i="36"/>
  <c r="A410" i="36"/>
  <c r="A411" i="36"/>
  <c r="A412" i="36"/>
  <c r="A413" i="36"/>
  <c r="A414" i="36"/>
  <c r="A415" i="36"/>
  <c r="A416" i="36"/>
  <c r="A417" i="36"/>
  <c r="A418" i="36"/>
  <c r="A419" i="36"/>
  <c r="A420" i="36"/>
  <c r="A421" i="36"/>
  <c r="A422" i="36"/>
  <c r="A423" i="36"/>
  <c r="A403" i="36"/>
  <c r="A429" i="36"/>
  <c r="A430" i="36"/>
  <c r="A431" i="36"/>
  <c r="A432" i="36"/>
  <c r="A433" i="36"/>
  <c r="A434" i="36"/>
  <c r="A435" i="36"/>
  <c r="A436" i="36"/>
  <c r="A437" i="36"/>
  <c r="A438" i="36"/>
  <c r="A439" i="36"/>
  <c r="A440" i="36"/>
  <c r="A441" i="36"/>
  <c r="A442" i="36"/>
  <c r="A443" i="36"/>
  <c r="A444" i="36"/>
  <c r="A445" i="36"/>
  <c r="A446" i="36"/>
  <c r="A447" i="36"/>
  <c r="A448" i="36"/>
  <c r="A428" i="36"/>
  <c r="A454" i="36"/>
  <c r="A455" i="36"/>
  <c r="A456" i="36"/>
  <c r="A457" i="36"/>
  <c r="A458" i="36"/>
  <c r="A459" i="36"/>
  <c r="A460" i="36"/>
  <c r="A461" i="36"/>
  <c r="A462" i="36"/>
  <c r="A463" i="36"/>
  <c r="A464" i="36"/>
  <c r="A465" i="36"/>
  <c r="A466" i="36"/>
  <c r="A467" i="36"/>
  <c r="A468" i="36"/>
  <c r="A469" i="36"/>
  <c r="A470" i="36"/>
  <c r="A471" i="36"/>
  <c r="A472" i="36"/>
  <c r="A473" i="36"/>
  <c r="A453" i="36"/>
  <c r="A479" i="36"/>
  <c r="A480" i="36"/>
  <c r="A481" i="36"/>
  <c r="A482" i="36"/>
  <c r="A483" i="36"/>
  <c r="A484" i="36"/>
  <c r="A485" i="36"/>
  <c r="A486" i="36"/>
  <c r="A487" i="36"/>
  <c r="A488" i="36"/>
  <c r="A489" i="36"/>
  <c r="A490" i="36"/>
  <c r="A491" i="36"/>
  <c r="A492" i="36"/>
  <c r="A493" i="36"/>
  <c r="A494" i="36"/>
  <c r="A495" i="36"/>
  <c r="A496" i="36"/>
  <c r="A497" i="36"/>
  <c r="A498" i="36"/>
  <c r="A478" i="36"/>
  <c r="A48" i="36"/>
  <c r="A47" i="36"/>
  <c r="A46" i="36"/>
  <c r="A54" i="36"/>
  <c r="A55" i="36"/>
  <c r="A56" i="36"/>
  <c r="A57" i="36"/>
  <c r="A58" i="36"/>
  <c r="A59" i="36"/>
  <c r="A60" i="36"/>
  <c r="A61" i="36"/>
  <c r="A62" i="36"/>
  <c r="A63" i="36"/>
  <c r="A64" i="36"/>
  <c r="A65" i="36"/>
  <c r="A66" i="36"/>
  <c r="A67" i="36"/>
  <c r="A68" i="36"/>
  <c r="A69" i="36"/>
  <c r="A70" i="36"/>
  <c r="A53" i="36"/>
  <c r="A29" i="36"/>
  <c r="A30" i="36"/>
  <c r="A31" i="36"/>
  <c r="A32" i="36"/>
  <c r="A33" i="36"/>
  <c r="A34" i="36"/>
  <c r="A35" i="36"/>
  <c r="A36" i="36"/>
  <c r="A37" i="36"/>
  <c r="A38" i="36"/>
  <c r="A39" i="36"/>
  <c r="A40" i="36"/>
  <c r="A41" i="36"/>
  <c r="A42" i="36"/>
  <c r="A43" i="36"/>
  <c r="A44" i="36"/>
  <c r="A45" i="36"/>
  <c r="A28" i="36"/>
  <c r="A1" i="36"/>
  <c r="A22" i="36" l="1"/>
  <c r="A2" i="36"/>
  <c r="A21" i="36"/>
  <c r="C21" i="36" l="1"/>
  <c r="K62" i="26" s="1"/>
  <c r="G21" i="36"/>
  <c r="K66" i="26" s="1"/>
  <c r="K21" i="36"/>
  <c r="K70" i="26" s="1"/>
  <c r="D21" i="36"/>
  <c r="K63" i="26" s="1"/>
  <c r="H21" i="36"/>
  <c r="K67" i="26" s="1"/>
  <c r="L21" i="36"/>
  <c r="K71" i="26" s="1"/>
  <c r="E21" i="36"/>
  <c r="K64" i="26" s="1"/>
  <c r="M21" i="36"/>
  <c r="K72" i="26" s="1"/>
  <c r="F21" i="36"/>
  <c r="K65" i="26" s="1"/>
  <c r="N21" i="36"/>
  <c r="K73" i="26" s="1"/>
  <c r="I21" i="36"/>
  <c r="K68" i="26" s="1"/>
  <c r="J21" i="36"/>
  <c r="K69" i="26" s="1"/>
  <c r="C22" i="36"/>
  <c r="G62" i="26" s="1"/>
  <c r="G22" i="36"/>
  <c r="G66" i="26" s="1"/>
  <c r="K22" i="36"/>
  <c r="G70" i="26" s="1"/>
  <c r="D22" i="36"/>
  <c r="G63" i="26" s="1"/>
  <c r="H22" i="36"/>
  <c r="G67" i="26" s="1"/>
  <c r="L22" i="36"/>
  <c r="G71" i="26" s="1"/>
  <c r="I22" i="36"/>
  <c r="G68" i="26" s="1"/>
  <c r="J22" i="36"/>
  <c r="G69" i="26" s="1"/>
  <c r="E22" i="36"/>
  <c r="G64" i="26" s="1"/>
  <c r="M22" i="36"/>
  <c r="G72" i="26" s="1"/>
  <c r="F22" i="36"/>
  <c r="G65" i="26" s="1"/>
  <c r="N22" i="36"/>
  <c r="G73" i="26" s="1"/>
  <c r="C2" i="36"/>
  <c r="G2" i="36"/>
  <c r="K2" i="36"/>
  <c r="F2" i="36"/>
  <c r="N2" i="36"/>
  <c r="H2" i="36"/>
  <c r="M2" i="36"/>
  <c r="I2" i="36"/>
  <c r="E2" i="36"/>
  <c r="J2" i="36"/>
  <c r="L2" i="36"/>
  <c r="D2" i="36"/>
  <c r="B19" i="37" l="1"/>
  <c r="F16" i="37"/>
  <c r="F15" i="37"/>
  <c r="F14" i="37"/>
  <c r="F13" i="37"/>
  <c r="F12" i="37"/>
  <c r="F11" i="37"/>
  <c r="F10" i="37"/>
  <c r="F9" i="37"/>
  <c r="F8" i="37"/>
  <c r="F7" i="37"/>
  <c r="F6" i="37"/>
  <c r="F5" i="37"/>
  <c r="R296" i="26" l="1"/>
  <c r="F122" i="40" s="1"/>
  <c r="R292" i="26"/>
  <c r="R289" i="26"/>
  <c r="I48" i="26"/>
  <c r="F414" i="40" s="1"/>
  <c r="R291" i="26" l="1"/>
  <c r="F131" i="40" s="1"/>
  <c r="F135" i="40"/>
  <c r="F132" i="40"/>
  <c r="U292" i="26"/>
  <c r="F133" i="40" s="1"/>
  <c r="B3" i="36"/>
  <c r="A62" i="26"/>
  <c r="A63" i="26" s="1"/>
  <c r="A64" i="26" s="1"/>
  <c r="A65" i="26" s="1"/>
  <c r="A66" i="26" s="1"/>
  <c r="A67" i="26" s="1"/>
  <c r="A68" i="26" s="1"/>
  <c r="A69" i="26" s="1"/>
  <c r="A70" i="26" s="1"/>
  <c r="A71" i="26" s="1"/>
  <c r="A72" i="26" s="1"/>
  <c r="A73" i="26" s="1"/>
  <c r="A75" i="26" s="1"/>
  <c r="A76" i="26" s="1"/>
  <c r="A42" i="26"/>
  <c r="A43" i="26" s="1"/>
  <c r="A44" i="26" s="1"/>
  <c r="A45" i="26" s="1"/>
  <c r="A47" i="26" s="1"/>
  <c r="A48" i="26" s="1"/>
  <c r="A49" i="26" s="1"/>
  <c r="A26" i="26"/>
  <c r="A27" i="26" s="1"/>
  <c r="A28" i="26" s="1"/>
  <c r="A29" i="26" s="1"/>
  <c r="A30" i="26" s="1"/>
  <c r="A31" i="26" s="1"/>
  <c r="A32" i="26" s="1"/>
  <c r="A33" i="26" s="1"/>
  <c r="A34" i="26" s="1"/>
  <c r="A35" i="26" s="1"/>
  <c r="A36" i="26" s="1"/>
  <c r="G75" i="26"/>
  <c r="U48" i="26"/>
  <c r="U49" i="26" s="1"/>
  <c r="I49" i="26" s="1"/>
  <c r="S45" i="26"/>
  <c r="F412" i="40" s="1"/>
  <c r="W42" i="26"/>
  <c r="F409" i="40" s="1"/>
  <c r="W41" i="26"/>
  <c r="M201" i="26" s="1"/>
  <c r="F275" i="40" s="1"/>
  <c r="G35" i="26"/>
  <c r="W28" i="26"/>
  <c r="U28" i="26"/>
  <c r="Q28" i="26"/>
  <c r="R293" i="26" l="1"/>
  <c r="F130" i="40" s="1"/>
  <c r="M48" i="26"/>
  <c r="O48" i="26" s="1"/>
  <c r="F405" i="40"/>
  <c r="K28" i="26"/>
  <c r="B4" i="36"/>
  <c r="A3" i="36"/>
  <c r="C2" i="37"/>
  <c r="C14" i="37" s="1"/>
  <c r="D2" i="37"/>
  <c r="K75" i="26"/>
  <c r="E75" i="26"/>
  <c r="L35" i="26"/>
  <c r="L36" i="26" s="1"/>
  <c r="W43" i="26"/>
  <c r="F385" i="40" l="1"/>
  <c r="F386" i="40"/>
  <c r="F387" i="40"/>
  <c r="S43" i="26"/>
  <c r="F410" i="40" s="1"/>
  <c r="W48" i="26"/>
  <c r="M189" i="26"/>
  <c r="F257" i="40" s="1"/>
  <c r="K31" i="26"/>
  <c r="F379" i="40"/>
  <c r="F2" i="37"/>
  <c r="H2" i="37"/>
  <c r="W189" i="26"/>
  <c r="C3" i="36"/>
  <c r="G3" i="36"/>
  <c r="K3" i="36"/>
  <c r="D3" i="36"/>
  <c r="H3" i="36"/>
  <c r="L3" i="36"/>
  <c r="E3" i="36"/>
  <c r="M3" i="36"/>
  <c r="F3" i="36"/>
  <c r="N3" i="36"/>
  <c r="I3" i="36"/>
  <c r="J3" i="36"/>
  <c r="B5" i="36"/>
  <c r="A4" i="36"/>
  <c r="C10" i="37"/>
  <c r="C15" i="37"/>
  <c r="C7" i="37"/>
  <c r="C11" i="37"/>
  <c r="C16" i="37"/>
  <c r="D9" i="37"/>
  <c r="D13" i="37"/>
  <c r="D12" i="37"/>
  <c r="D11" i="37"/>
  <c r="D6" i="37"/>
  <c r="D14" i="37"/>
  <c r="D16" i="37"/>
  <c r="D7" i="37"/>
  <c r="D5" i="37"/>
  <c r="D10" i="37"/>
  <c r="D8" i="37"/>
  <c r="D15" i="37"/>
  <c r="C6" i="37"/>
  <c r="C8" i="37"/>
  <c r="C13" i="37"/>
  <c r="C9" i="37"/>
  <c r="C5" i="37"/>
  <c r="C12" i="37"/>
  <c r="N31" i="26" l="1"/>
  <c r="M62" i="26" s="1"/>
  <c r="F383" i="40"/>
  <c r="E8" i="37"/>
  <c r="O65" i="26" s="1"/>
  <c r="C4" i="36"/>
  <c r="G4" i="36"/>
  <c r="K4" i="36"/>
  <c r="D4" i="36"/>
  <c r="H4" i="36"/>
  <c r="L4" i="36"/>
  <c r="I4" i="36"/>
  <c r="J4" i="36"/>
  <c r="E4" i="36"/>
  <c r="M4" i="36"/>
  <c r="F4" i="36"/>
  <c r="N4" i="36"/>
  <c r="B6" i="36"/>
  <c r="A5" i="36"/>
  <c r="C19" i="37"/>
  <c r="W35" i="26" s="1"/>
  <c r="D19" i="37"/>
  <c r="W36" i="26" s="1"/>
  <c r="M64" i="26" l="1"/>
  <c r="E9" i="37"/>
  <c r="O66" i="26" s="1"/>
  <c r="G9" i="37" s="1"/>
  <c r="M65" i="26"/>
  <c r="E14" i="37"/>
  <c r="O71" i="26" s="1"/>
  <c r="G14" i="37" s="1"/>
  <c r="E10" i="37"/>
  <c r="O67" i="26" s="1"/>
  <c r="G10" i="37" s="1"/>
  <c r="M67" i="26"/>
  <c r="M69" i="26"/>
  <c r="E11" i="37"/>
  <c r="O68" i="26" s="1"/>
  <c r="G11" i="37" s="1"/>
  <c r="E16" i="37"/>
  <c r="O73" i="26" s="1"/>
  <c r="G16" i="37" s="1"/>
  <c r="E7" i="37"/>
  <c r="O64" i="26" s="1"/>
  <c r="G7" i="37" s="1"/>
  <c r="M70" i="26"/>
  <c r="M63" i="26"/>
  <c r="M66" i="26"/>
  <c r="M72" i="26"/>
  <c r="E5" i="37"/>
  <c r="O62" i="26" s="1"/>
  <c r="G5" i="37" s="1"/>
  <c r="E15" i="37"/>
  <c r="O72" i="26" s="1"/>
  <c r="G15" i="37" s="1"/>
  <c r="E12" i="37"/>
  <c r="O69" i="26" s="1"/>
  <c r="G12" i="37" s="1"/>
  <c r="M71" i="26"/>
  <c r="E6" i="37"/>
  <c r="O63" i="26" s="1"/>
  <c r="G6" i="37" s="1"/>
  <c r="E13" i="37"/>
  <c r="O70" i="26" s="1"/>
  <c r="G13" i="37" s="1"/>
  <c r="M73" i="26"/>
  <c r="M68" i="26"/>
  <c r="C5" i="36"/>
  <c r="G5" i="36"/>
  <c r="K5" i="36"/>
  <c r="D5" i="36"/>
  <c r="H5" i="36"/>
  <c r="L5" i="36"/>
  <c r="E5" i="36"/>
  <c r="M5" i="36"/>
  <c r="F5" i="36"/>
  <c r="N5" i="36"/>
  <c r="I5" i="36"/>
  <c r="J5" i="36"/>
  <c r="B7" i="36"/>
  <c r="A6" i="36"/>
  <c r="G8" i="37"/>
  <c r="M75" i="26" l="1"/>
  <c r="M76" i="26" s="1"/>
  <c r="O76" i="26"/>
  <c r="F420" i="40" s="1"/>
  <c r="E19" i="37"/>
  <c r="C6" i="36"/>
  <c r="G6" i="36"/>
  <c r="K6" i="36"/>
  <c r="D6" i="36"/>
  <c r="H6" i="36"/>
  <c r="L6" i="36"/>
  <c r="I6" i="36"/>
  <c r="M6" i="36"/>
  <c r="J6" i="36"/>
  <c r="F6" i="36"/>
  <c r="N6" i="36"/>
  <c r="E6" i="36"/>
  <c r="B8" i="36"/>
  <c r="A7" i="36"/>
  <c r="C7" i="36" l="1"/>
  <c r="G7" i="36"/>
  <c r="K7" i="36"/>
  <c r="D7" i="36"/>
  <c r="H7" i="36"/>
  <c r="L7" i="36"/>
  <c r="E7" i="36"/>
  <c r="M7" i="36"/>
  <c r="F7" i="36"/>
  <c r="N7" i="36"/>
  <c r="I7" i="36"/>
  <c r="J7" i="36"/>
  <c r="B9" i="36"/>
  <c r="A8" i="36"/>
  <c r="C8" i="36" l="1"/>
  <c r="G8" i="36"/>
  <c r="K8" i="36"/>
  <c r="D8" i="36"/>
  <c r="H8" i="36"/>
  <c r="M8" i="36"/>
  <c r="I8" i="36"/>
  <c r="N8" i="36"/>
  <c r="E8" i="36"/>
  <c r="F8" i="36"/>
  <c r="L8" i="36"/>
  <c r="J8" i="36"/>
  <c r="B10" i="36"/>
  <c r="A9" i="36"/>
  <c r="L9" i="36" s="1"/>
  <c r="C9" i="36" l="1"/>
  <c r="G9" i="36"/>
  <c r="K9" i="36"/>
  <c r="F9" i="36"/>
  <c r="I9" i="36"/>
  <c r="H9" i="36"/>
  <c r="M9" i="36"/>
  <c r="D9" i="36"/>
  <c r="E9" i="36"/>
  <c r="J9" i="36"/>
  <c r="N9" i="36"/>
  <c r="B11" i="36"/>
  <c r="A10" i="36"/>
  <c r="W342" i="26"/>
  <c r="F364" i="40" s="1"/>
  <c r="M214" i="26"/>
  <c r="A130" i="26"/>
  <c r="A131" i="26" s="1"/>
  <c r="A132" i="26" s="1"/>
  <c r="A206" i="26"/>
  <c r="C10" i="36" l="1"/>
  <c r="G10" i="36"/>
  <c r="K10" i="36"/>
  <c r="E10" i="36"/>
  <c r="J10" i="36"/>
  <c r="M10" i="36"/>
  <c r="F10" i="36"/>
  <c r="L10" i="36"/>
  <c r="H10" i="36"/>
  <c r="D10" i="36"/>
  <c r="I10" i="36"/>
  <c r="N10" i="36"/>
  <c r="B12" i="36"/>
  <c r="A11" i="36"/>
  <c r="A133" i="26"/>
  <c r="C11" i="36" l="1"/>
  <c r="I62" i="26" s="1"/>
  <c r="G11" i="36"/>
  <c r="I66" i="26" s="1"/>
  <c r="H9" i="37" s="1"/>
  <c r="I9" i="37" s="1"/>
  <c r="K11" i="36"/>
  <c r="I70" i="26" s="1"/>
  <c r="H13" i="37" s="1"/>
  <c r="I13" i="37" s="1"/>
  <c r="D11" i="36"/>
  <c r="I63" i="26" s="1"/>
  <c r="H6" i="37" s="1"/>
  <c r="I6" i="37" s="1"/>
  <c r="I11" i="36"/>
  <c r="I68" i="26" s="1"/>
  <c r="H11" i="37" s="1"/>
  <c r="I11" i="37" s="1"/>
  <c r="N11" i="36"/>
  <c r="I73" i="26" s="1"/>
  <c r="H16" i="37" s="1"/>
  <c r="I16" i="37" s="1"/>
  <c r="F11" i="36"/>
  <c r="I65" i="26" s="1"/>
  <c r="H8" i="37" s="1"/>
  <c r="I8" i="37" s="1"/>
  <c r="E11" i="36"/>
  <c r="I64" i="26" s="1"/>
  <c r="H7" i="37" s="1"/>
  <c r="I7" i="37" s="1"/>
  <c r="J11" i="36"/>
  <c r="I69" i="26" s="1"/>
  <c r="H12" i="37" s="1"/>
  <c r="I12" i="37" s="1"/>
  <c r="H11" i="36"/>
  <c r="I67" i="26" s="1"/>
  <c r="H10" i="37" s="1"/>
  <c r="I10" i="37" s="1"/>
  <c r="M11" i="36"/>
  <c r="I72" i="26" s="1"/>
  <c r="H15" i="37" s="1"/>
  <c r="I15" i="37" s="1"/>
  <c r="L11" i="36"/>
  <c r="I71" i="26" s="1"/>
  <c r="H14" i="37" s="1"/>
  <c r="I14" i="37" s="1"/>
  <c r="B13" i="36"/>
  <c r="A12" i="36"/>
  <c r="M331" i="26"/>
  <c r="F194" i="40" s="1"/>
  <c r="Q71" i="26" l="1"/>
  <c r="S71" i="26" s="1"/>
  <c r="W71" i="26" s="1"/>
  <c r="Q67" i="26"/>
  <c r="S67" i="26" s="1"/>
  <c r="U67" i="26" s="1"/>
  <c r="Q64" i="26"/>
  <c r="S64" i="26" s="1"/>
  <c r="U64" i="26" s="1"/>
  <c r="Q73" i="26"/>
  <c r="S73" i="26" s="1"/>
  <c r="U73" i="26" s="1"/>
  <c r="Q63" i="26"/>
  <c r="S63" i="26" s="1"/>
  <c r="U63" i="26" s="1"/>
  <c r="Q66" i="26"/>
  <c r="S66" i="26" s="1"/>
  <c r="W66" i="26" s="1"/>
  <c r="Q72" i="26"/>
  <c r="S72" i="26" s="1"/>
  <c r="W72" i="26" s="1"/>
  <c r="Q69" i="26"/>
  <c r="S69" i="26" s="1"/>
  <c r="U69" i="26" s="1"/>
  <c r="Q65" i="26"/>
  <c r="S65" i="26" s="1"/>
  <c r="U65" i="26" s="1"/>
  <c r="Q68" i="26"/>
  <c r="S68" i="26" s="1"/>
  <c r="U68" i="26" s="1"/>
  <c r="Q70" i="26"/>
  <c r="S70" i="26" s="1"/>
  <c r="U70" i="26" s="1"/>
  <c r="W67" i="26"/>
  <c r="H5" i="37"/>
  <c r="I5" i="37" s="1"/>
  <c r="I75" i="26"/>
  <c r="I76" i="26" s="1"/>
  <c r="W65" i="26"/>
  <c r="C12" i="36"/>
  <c r="G12" i="36"/>
  <c r="K12" i="36"/>
  <c r="H12" i="36"/>
  <c r="M12" i="36"/>
  <c r="J12" i="36"/>
  <c r="D12" i="36"/>
  <c r="I12" i="36"/>
  <c r="N12" i="36"/>
  <c r="E12" i="36"/>
  <c r="F12" i="36"/>
  <c r="L12" i="36"/>
  <c r="B14" i="36"/>
  <c r="A13" i="36"/>
  <c r="A317" i="26"/>
  <c r="A304" i="26"/>
  <c r="A355" i="26"/>
  <c r="M172" i="26"/>
  <c r="F158" i="40" s="1"/>
  <c r="A8" i="26"/>
  <c r="A9" i="26" s="1"/>
  <c r="A10" i="26" s="1"/>
  <c r="A11" i="26" s="1"/>
  <c r="A12" i="26" s="1"/>
  <c r="A13" i="26" s="1"/>
  <c r="A14" i="26" s="1"/>
  <c r="W64" i="26" l="1"/>
  <c r="W69" i="26"/>
  <c r="W68" i="26"/>
  <c r="W73" i="26"/>
  <c r="W70" i="26"/>
  <c r="W63" i="26"/>
  <c r="U66" i="26"/>
  <c r="Q62" i="26"/>
  <c r="S62" i="26" s="1"/>
  <c r="U62" i="26" s="1"/>
  <c r="U71" i="26"/>
  <c r="U72" i="26"/>
  <c r="C13" i="36"/>
  <c r="G13" i="36"/>
  <c r="K13" i="36"/>
  <c r="F13" i="36"/>
  <c r="N13" i="36"/>
  <c r="H13" i="36"/>
  <c r="M13" i="36"/>
  <c r="I13" i="36"/>
  <c r="E13" i="36"/>
  <c r="J13" i="36"/>
  <c r="L13" i="36"/>
  <c r="D13" i="36"/>
  <c r="B15" i="36"/>
  <c r="A14" i="36"/>
  <c r="A305" i="26"/>
  <c r="A15" i="26"/>
  <c r="A16" i="26" s="1"/>
  <c r="A17" i="26" s="1"/>
  <c r="A18" i="26" s="1"/>
  <c r="A19" i="26" s="1"/>
  <c r="A318" i="26"/>
  <c r="S76" i="26" l="1"/>
  <c r="F421" i="40" s="1"/>
  <c r="W62" i="26"/>
  <c r="W75" i="26" s="1"/>
  <c r="W76" i="26"/>
  <c r="U76" i="26" s="1"/>
  <c r="C14" i="36"/>
  <c r="G14" i="36"/>
  <c r="K14" i="36"/>
  <c r="E14" i="36"/>
  <c r="J14" i="36"/>
  <c r="F14" i="36"/>
  <c r="L14" i="36"/>
  <c r="M14" i="36"/>
  <c r="D14" i="36"/>
  <c r="I14" i="36"/>
  <c r="N14" i="36"/>
  <c r="H14" i="36"/>
  <c r="B16" i="36"/>
  <c r="A15" i="36"/>
  <c r="A20" i="26"/>
  <c r="A319" i="26"/>
  <c r="A306" i="26"/>
  <c r="M296" i="26"/>
  <c r="F101" i="40" s="1"/>
  <c r="M292" i="26"/>
  <c r="M289" i="26"/>
  <c r="F114" i="40" s="1"/>
  <c r="M246" i="26"/>
  <c r="M241" i="26"/>
  <c r="F293" i="40" s="1"/>
  <c r="M223" i="26"/>
  <c r="M222" i="26"/>
  <c r="M212" i="26"/>
  <c r="M211" i="26"/>
  <c r="M187" i="26"/>
  <c r="F253" i="40" s="1"/>
  <c r="M182" i="26"/>
  <c r="F251" i="40" s="1"/>
  <c r="M181" i="26"/>
  <c r="F250" i="40" s="1"/>
  <c r="M180" i="26"/>
  <c r="F249" i="40" s="1"/>
  <c r="M157" i="26"/>
  <c r="F245" i="40" s="1"/>
  <c r="M156" i="26"/>
  <c r="F248" i="40" s="1"/>
  <c r="M153" i="26"/>
  <c r="F224" i="40" s="1"/>
  <c r="U152" i="26"/>
  <c r="M152" i="26"/>
  <c r="M151" i="26"/>
  <c r="M150" i="26"/>
  <c r="M148" i="26"/>
  <c r="M144" i="26"/>
  <c r="F223" i="40" s="1"/>
  <c r="M143" i="26"/>
  <c r="F222" i="40" s="1"/>
  <c r="M142" i="26"/>
  <c r="F221" i="40" s="1"/>
  <c r="U151" i="26"/>
  <c r="Q76" i="26" l="1"/>
  <c r="F422" i="40" s="1"/>
  <c r="F111" i="40"/>
  <c r="P292" i="26"/>
  <c r="F112" i="40" s="1"/>
  <c r="C15" i="36"/>
  <c r="G15" i="36"/>
  <c r="K15" i="36"/>
  <c r="I15" i="36"/>
  <c r="F15" i="36"/>
  <c r="E15" i="36"/>
  <c r="J15" i="36"/>
  <c r="H15" i="36"/>
  <c r="M15" i="36"/>
  <c r="D15" i="36"/>
  <c r="N15" i="36"/>
  <c r="L15" i="36"/>
  <c r="B17" i="36"/>
  <c r="A16" i="36"/>
  <c r="M291" i="26"/>
  <c r="M188" i="26"/>
  <c r="F254" i="40" s="1"/>
  <c r="U150" i="26"/>
  <c r="R241" i="26"/>
  <c r="F298" i="40" s="1"/>
  <c r="M225" i="26"/>
  <c r="A320" i="26"/>
  <c r="A307" i="26"/>
  <c r="A21" i="26"/>
  <c r="A356" i="26"/>
  <c r="A357" i="26" s="1"/>
  <c r="A358" i="26" s="1"/>
  <c r="A359" i="26" s="1"/>
  <c r="A360" i="26" s="1"/>
  <c r="A361" i="26" s="1"/>
  <c r="A362" i="26" s="1"/>
  <c r="A363" i="26" s="1"/>
  <c r="A364" i="26" s="1"/>
  <c r="A365" i="26" s="1"/>
  <c r="A366" i="26" s="1"/>
  <c r="A367" i="26" s="1"/>
  <c r="A368" i="26" s="1"/>
  <c r="A369" i="26" s="1"/>
  <c r="A370" i="26" s="1"/>
  <c r="A371" i="26" s="1"/>
  <c r="A372" i="26" s="1"/>
  <c r="M154" i="26"/>
  <c r="F225" i="40" s="1"/>
  <c r="M158" i="26"/>
  <c r="F247" i="40" s="1"/>
  <c r="M159" i="26"/>
  <c r="F246" i="40" s="1"/>
  <c r="M213" i="26"/>
  <c r="M218" i="26"/>
  <c r="M293" i="26" l="1"/>
  <c r="F109" i="40" s="1"/>
  <c r="F110" i="40"/>
  <c r="U225" i="26"/>
  <c r="U214" i="26"/>
  <c r="F267" i="40" s="1"/>
  <c r="C16" i="36"/>
  <c r="G16" i="36"/>
  <c r="K16" i="36"/>
  <c r="H16" i="36"/>
  <c r="J16" i="36"/>
  <c r="D16" i="36"/>
  <c r="I16" i="36"/>
  <c r="N16" i="36"/>
  <c r="E16" i="36"/>
  <c r="F16" i="36"/>
  <c r="L16" i="36"/>
  <c r="M16" i="36"/>
  <c r="B18" i="36"/>
  <c r="A17" i="36"/>
  <c r="M224" i="26"/>
  <c r="U213" i="26" s="1"/>
  <c r="F266" i="40" s="1"/>
  <c r="M155" i="26"/>
  <c r="F226" i="40" s="1"/>
  <c r="A308" i="26"/>
  <c r="A321" i="26"/>
  <c r="A386" i="26"/>
  <c r="A387" i="26" s="1"/>
  <c r="A388" i="26" s="1"/>
  <c r="A389" i="26" s="1"/>
  <c r="A390" i="26" s="1"/>
  <c r="A391" i="26" s="1"/>
  <c r="A392" i="26" s="1"/>
  <c r="A393" i="26" s="1"/>
  <c r="A373" i="26"/>
  <c r="M210" i="26"/>
  <c r="M215" i="26"/>
  <c r="U210" i="26" l="1"/>
  <c r="F269" i="40" s="1"/>
  <c r="C17" i="36"/>
  <c r="G17" i="36"/>
  <c r="K17" i="36"/>
  <c r="L17" i="36"/>
  <c r="N17" i="36"/>
  <c r="H17" i="36"/>
  <c r="M17" i="36"/>
  <c r="I17" i="36"/>
  <c r="E17" i="36"/>
  <c r="J17" i="36"/>
  <c r="F17" i="36"/>
  <c r="D17" i="36"/>
  <c r="B19" i="36"/>
  <c r="A18" i="36"/>
  <c r="O246" i="26"/>
  <c r="F303" i="40" s="1"/>
  <c r="M226" i="26"/>
  <c r="M228" i="26" s="1"/>
  <c r="M217" i="26"/>
  <c r="A322" i="26"/>
  <c r="A309" i="26"/>
  <c r="C18" i="36" l="1"/>
  <c r="G18" i="36"/>
  <c r="K18" i="36"/>
  <c r="J18" i="36"/>
  <c r="F18" i="36"/>
  <c r="L18" i="36"/>
  <c r="M18" i="36"/>
  <c r="D18" i="36"/>
  <c r="I18" i="36"/>
  <c r="N18" i="36"/>
  <c r="E18" i="36"/>
  <c r="H18" i="36"/>
  <c r="B20" i="36"/>
  <c r="A20" i="36" s="1"/>
  <c r="A19" i="36"/>
  <c r="M230" i="26"/>
  <c r="A323" i="26"/>
  <c r="U230" i="26" l="1"/>
  <c r="F268" i="40" s="1"/>
  <c r="C19" i="36"/>
  <c r="G19" i="36"/>
  <c r="K19" i="36"/>
  <c r="N19" i="36"/>
  <c r="F19" i="36"/>
  <c r="E19" i="36"/>
  <c r="J19" i="36"/>
  <c r="L19" i="36"/>
  <c r="H19" i="36"/>
  <c r="M19" i="36"/>
  <c r="D19" i="36"/>
  <c r="I19" i="36"/>
  <c r="C20" i="36"/>
  <c r="G20" i="36"/>
  <c r="K20" i="36"/>
  <c r="J20" i="36"/>
  <c r="D20" i="36"/>
  <c r="I20" i="36"/>
  <c r="N20" i="36"/>
  <c r="F20" i="36"/>
  <c r="L20" i="36"/>
  <c r="H20" i="36"/>
  <c r="M20" i="36"/>
  <c r="E20" i="36"/>
  <c r="A324" i="26"/>
  <c r="A336" i="26"/>
  <c r="A337" i="26" s="1"/>
  <c r="A338" i="26" s="1"/>
  <c r="A339" i="26" l="1"/>
  <c r="A325" i="26"/>
  <c r="A326" i="26" s="1"/>
  <c r="A329" i="26" s="1"/>
  <c r="A330" i="26" s="1"/>
  <c r="A331" i="26" s="1"/>
  <c r="A340" i="26" l="1"/>
  <c r="A341" i="26" l="1"/>
  <c r="A342" i="26" l="1"/>
  <c r="A343" i="26" l="1"/>
  <c r="A344" i="26" l="1"/>
  <c r="A345" i="26" l="1"/>
  <c r="A346" i="26" l="1"/>
  <c r="A347" i="26" l="1"/>
  <c r="A348" i="26" l="1"/>
  <c r="A82" i="26" l="1"/>
  <c r="A83" i="26" s="1"/>
  <c r="A84" i="26" l="1"/>
  <c r="A85" i="26" l="1"/>
  <c r="A86" i="26" l="1"/>
  <c r="A87" i="26" l="1"/>
  <c r="A88" i="26" l="1"/>
  <c r="A89" i="26" s="1"/>
  <c r="A90" i="26" s="1"/>
  <c r="A91" i="26" s="1"/>
  <c r="A92" i="26" s="1"/>
  <c r="A93" i="26" s="1"/>
  <c r="A94" i="26" s="1"/>
  <c r="A99" i="26" s="1"/>
  <c r="A284" i="26"/>
  <c r="A285" i="26" l="1"/>
  <c r="A100" i="26"/>
  <c r="A102" i="26" s="1"/>
  <c r="A310" i="26"/>
  <c r="A286" i="26" l="1"/>
  <c r="A311" i="26"/>
  <c r="A287" i="26" l="1"/>
  <c r="A312" i="26"/>
  <c r="A288" i="26" l="1"/>
  <c r="A104" i="26"/>
  <c r="A134" i="26"/>
  <c r="A289" i="26" l="1"/>
  <c r="A105" i="26"/>
  <c r="A135" i="26"/>
  <c r="A107" i="26" l="1"/>
  <c r="A290" i="26"/>
  <c r="A136" i="26"/>
  <c r="A291" i="26" l="1"/>
  <c r="A108" i="26"/>
  <c r="A137" i="26"/>
  <c r="A109" i="26" l="1"/>
  <c r="A292" i="26"/>
  <c r="A138" i="26"/>
  <c r="A293" i="26" l="1"/>
  <c r="A112" i="26"/>
  <c r="A143" i="26"/>
  <c r="A113" i="26" l="1"/>
  <c r="A294" i="26"/>
  <c r="A144" i="26"/>
  <c r="A295" i="26" l="1"/>
  <c r="A115" i="26"/>
  <c r="A145" i="26"/>
  <c r="A146" i="26" s="1"/>
  <c r="A147" i="26" s="1"/>
  <c r="A148" i="26" s="1"/>
  <c r="A149" i="26" s="1"/>
  <c r="A150" i="26" s="1"/>
  <c r="A151" i="26" s="1"/>
  <c r="A152" i="26" s="1"/>
  <c r="A153" i="26" s="1"/>
  <c r="A116" i="26" l="1"/>
  <c r="A296" i="26"/>
  <c r="A154" i="26"/>
  <c r="A297" i="26" l="1"/>
  <c r="A117" i="26"/>
  <c r="A118" i="26" s="1"/>
  <c r="A155" i="26"/>
  <c r="A298" i="26" l="1"/>
  <c r="A119" i="26"/>
  <c r="A120" i="26" s="1"/>
  <c r="A156" i="26"/>
  <c r="A121" i="26" l="1"/>
  <c r="A122" i="26" s="1"/>
  <c r="A299" i="26"/>
  <c r="A157" i="26"/>
  <c r="A123" i="26" l="1"/>
  <c r="A124" i="26" s="1"/>
  <c r="A158" i="26"/>
  <c r="A159" i="26" s="1"/>
  <c r="A181" i="26"/>
  <c r="A237" i="26"/>
  <c r="A207" i="26"/>
  <c r="A208" i="26" s="1"/>
  <c r="A209" i="26" l="1"/>
  <c r="A125" i="26"/>
  <c r="A238" i="26"/>
  <c r="A182" i="26"/>
  <c r="A160" i="26"/>
  <c r="A210" i="26" l="1"/>
  <c r="A239" i="26"/>
  <c r="A260" i="26"/>
  <c r="A261" i="26" s="1"/>
  <c r="A183" i="26"/>
  <c r="A184" i="26" s="1"/>
  <c r="A185" i="26" s="1"/>
  <c r="A186" i="26" s="1"/>
  <c r="A161" i="26"/>
  <c r="A162" i="26" s="1"/>
  <c r="A163" i="26" s="1"/>
  <c r="A164" i="26" s="1"/>
  <c r="A211" i="26" l="1"/>
  <c r="A212" i="26" s="1"/>
  <c r="A213" i="26" s="1"/>
  <c r="A240" i="26"/>
  <c r="A262" i="26"/>
  <c r="A263" i="26" s="1"/>
  <c r="A187" i="26"/>
  <c r="A167" i="26"/>
  <c r="A241" i="26" l="1"/>
  <c r="A214" i="26"/>
  <c r="A264" i="26"/>
  <c r="A168" i="26"/>
  <c r="A169" i="26" s="1"/>
  <c r="A188" i="26"/>
  <c r="A242" i="26" l="1"/>
  <c r="A215" i="26"/>
  <c r="A216" i="26" s="1"/>
  <c r="A265" i="26"/>
  <c r="A189" i="26"/>
  <c r="A243" i="26" l="1"/>
  <c r="A217" i="26"/>
  <c r="A218" i="26" s="1"/>
  <c r="A221" i="26" s="1"/>
  <c r="A266" i="26"/>
  <c r="A190" i="26"/>
  <c r="A191" i="26" s="1"/>
  <c r="A192" i="26" s="1"/>
  <c r="A193" i="26" s="1"/>
  <c r="A194" i="26" s="1"/>
  <c r="A195" i="26" s="1"/>
  <c r="A196" i="26" s="1"/>
  <c r="A197" i="26" s="1"/>
  <c r="A198" i="26" s="1"/>
  <c r="A199" i="26" s="1"/>
  <c r="A200" i="26" s="1"/>
  <c r="A201" i="26" s="1"/>
  <c r="A244" i="26" l="1"/>
  <c r="A222" i="26"/>
  <c r="A223" i="26" s="1"/>
  <c r="A224" i="26" s="1"/>
  <c r="A225" i="26" s="1"/>
  <c r="A226" i="26" s="1"/>
  <c r="A227" i="26" s="1"/>
  <c r="A267" i="26"/>
  <c r="A268" i="26" s="1"/>
  <c r="A269" i="26" s="1"/>
  <c r="A270" i="26" s="1"/>
  <c r="A271" i="26" s="1"/>
  <c r="A272" i="26" s="1"/>
  <c r="A275" i="26" s="1"/>
  <c r="A276" i="26" s="1"/>
  <c r="A245" i="26" l="1"/>
  <c r="A228" i="26"/>
  <c r="A229" i="26" s="1"/>
  <c r="A246" i="26" l="1"/>
  <c r="A247" i="26" s="1"/>
  <c r="A248" i="26" s="1"/>
  <c r="A230" i="26"/>
  <c r="A170" i="26"/>
  <c r="A231" i="26" l="1"/>
  <c r="A171" i="26"/>
  <c r="A232" i="26" l="1"/>
  <c r="A172" i="26"/>
  <c r="A173" i="26" l="1"/>
  <c r="A249" i="26" l="1"/>
  <c r="A174" i="26"/>
  <c r="A250" i="26" l="1"/>
  <c r="A277" i="26"/>
  <c r="A175" i="26"/>
  <c r="A251" i="26" l="1"/>
  <c r="A278" i="26"/>
  <c r="A176" i="26"/>
  <c r="A252" i="26" l="1"/>
  <c r="A279" i="26"/>
  <c r="A253" i="26" l="1"/>
  <c r="A254" i="26" s="1"/>
  <c r="A255" i="26" s="1"/>
  <c r="M106" i="41"/>
  <c r="V106" i="41"/>
  <c r="S106" i="41"/>
  <c r="Q106" i="41"/>
  <c r="N106" i="41"/>
  <c r="P106" i="41"/>
  <c r="T106" i="41"/>
  <c r="U106" i="41"/>
  <c r="O106" i="41"/>
</calcChain>
</file>

<file path=xl/comments1.xml><?xml version="1.0" encoding="utf-8"?>
<comments xmlns="http://schemas.openxmlformats.org/spreadsheetml/2006/main">
  <authors>
    <author>juancarlos</author>
  </authors>
  <commentList>
    <comment ref="L1" authorId="0">
      <text>
        <r>
          <rPr>
            <b/>
            <sz val="9"/>
            <color indexed="81"/>
            <rFont val="Tahoma"/>
            <family val="2"/>
          </rPr>
          <t>juancarlos:</t>
        </r>
        <r>
          <rPr>
            <sz val="9"/>
            <color indexed="81"/>
            <rFont val="Tahoma"/>
            <family val="2"/>
          </rPr>
          <t xml:space="preserve">
Evaluación de la importancia del requisito</t>
        </r>
      </text>
    </comment>
    <comment ref="N1" authorId="0">
      <text>
        <r>
          <rPr>
            <b/>
            <sz val="9"/>
            <color indexed="81"/>
            <rFont val="Tahoma"/>
            <family val="2"/>
          </rPr>
          <t>juancarlos:</t>
        </r>
        <r>
          <rPr>
            <sz val="9"/>
            <color indexed="81"/>
            <rFont val="Tahoma"/>
            <family val="2"/>
          </rPr>
          <t xml:space="preserve">
Inspección de Instalaciones</t>
        </r>
      </text>
    </comment>
    <comment ref="O1" authorId="0">
      <text>
        <r>
          <rPr>
            <b/>
            <sz val="9"/>
            <color indexed="81"/>
            <rFont val="Tahoma"/>
            <family val="2"/>
          </rPr>
          <t>juancarlos:</t>
        </r>
        <r>
          <rPr>
            <sz val="9"/>
            <color indexed="81"/>
            <rFont val="Tahoma"/>
            <family val="2"/>
          </rPr>
          <t xml:space="preserve">
Requisitos seleccionados para revisión documental</t>
        </r>
      </text>
    </comment>
    <comment ref="E146" authorId="0">
      <text>
        <r>
          <rPr>
            <b/>
            <sz val="9"/>
            <color indexed="81"/>
            <rFont val="Tahoma"/>
            <family val="2"/>
          </rPr>
          <t>juancarlos:</t>
        </r>
        <r>
          <rPr>
            <sz val="9"/>
            <color indexed="81"/>
            <rFont val="Tahoma"/>
            <family val="2"/>
          </rPr>
          <t xml:space="preserve">
Planos y Esquemas</t>
        </r>
      </text>
    </comment>
    <comment ref="N429" authorId="0">
      <text>
        <r>
          <rPr>
            <b/>
            <sz val="9"/>
            <color indexed="81"/>
            <rFont val="Tahoma"/>
            <family val="2"/>
          </rPr>
          <t>juancarlos:</t>
        </r>
        <r>
          <rPr>
            <sz val="9"/>
            <color indexed="81"/>
            <rFont val="Tahoma"/>
            <family val="2"/>
          </rPr>
          <t xml:space="preserve">
Requisitos cuya verificación se recomienda en la inspección de instalación</t>
        </r>
      </text>
    </comment>
  </commentList>
</comments>
</file>

<file path=xl/sharedStrings.xml><?xml version="1.0" encoding="utf-8"?>
<sst xmlns="http://schemas.openxmlformats.org/spreadsheetml/2006/main" count="4119" uniqueCount="1871">
  <si>
    <t>A medida</t>
  </si>
  <si>
    <t>Forzada</t>
  </si>
  <si>
    <t>x</t>
  </si>
  <si>
    <t>RAD</t>
  </si>
  <si>
    <t>ENE</t>
  </si>
  <si>
    <t>FEB</t>
  </si>
  <si>
    <t>MAR</t>
  </si>
  <si>
    <t>ABR</t>
  </si>
  <si>
    <t>MAY</t>
  </si>
  <si>
    <t>JUN</t>
  </si>
  <si>
    <t>JUL</t>
  </si>
  <si>
    <t>AGO</t>
  </si>
  <si>
    <t>SEP</t>
  </si>
  <si>
    <t>OCT</t>
  </si>
  <si>
    <t>NOV</t>
  </si>
  <si>
    <t>DIC</t>
  </si>
  <si>
    <t>Sistema de apoyo</t>
  </si>
  <si>
    <t>Circuito primario</t>
  </si>
  <si>
    <t>Número</t>
  </si>
  <si>
    <t>Total</t>
  </si>
  <si>
    <t>Superficie de captación (A en m2)</t>
  </si>
  <si>
    <t>Coeficientes del colector</t>
  </si>
  <si>
    <t>TAF</t>
  </si>
  <si>
    <t>OCU</t>
  </si>
  <si>
    <t>REN</t>
  </si>
  <si>
    <t>ºC</t>
  </si>
  <si>
    <t>%</t>
  </si>
  <si>
    <t>m3</t>
  </si>
  <si>
    <t>kWh</t>
  </si>
  <si>
    <t>kWh/m2</t>
  </si>
  <si>
    <t>CON</t>
  </si>
  <si>
    <t>PMAX</t>
  </si>
  <si>
    <t>Características del agua</t>
  </si>
  <si>
    <t>SISTEMA DE CAPTACIÓN</t>
  </si>
  <si>
    <t>Marca de colector</t>
  </si>
  <si>
    <t>Modelo</t>
  </si>
  <si>
    <t>l/h.m2</t>
  </si>
  <si>
    <t>Marca de acumulador</t>
  </si>
  <si>
    <t>Ubicación</t>
  </si>
  <si>
    <t>Interior</t>
  </si>
  <si>
    <t>Exterior</t>
  </si>
  <si>
    <t>CIRCUITOS HIDRÁULICOS</t>
  </si>
  <si>
    <t>PRI</t>
  </si>
  <si>
    <t>Criterio de equilibrado</t>
  </si>
  <si>
    <t>SISTEMA DE EXPANSIÓN</t>
  </si>
  <si>
    <t>Calefón</t>
  </si>
  <si>
    <t>Eléctrica</t>
  </si>
  <si>
    <t>Marca</t>
  </si>
  <si>
    <t>Ref. autorización</t>
  </si>
  <si>
    <t>Retención</t>
  </si>
  <si>
    <t>SISTEMA ELÉCTRICO Y DE CONTROL</t>
  </si>
  <si>
    <t>ESPECIFICACIONES DE COMPONENTES</t>
  </si>
  <si>
    <t>TMÁX</t>
  </si>
  <si>
    <t>Colector Solar</t>
  </si>
  <si>
    <t>Acumulador solar</t>
  </si>
  <si>
    <t>Válvula de corte</t>
  </si>
  <si>
    <t>Válvula de retención</t>
  </si>
  <si>
    <t>Válvula de seguridad</t>
  </si>
  <si>
    <t>Válvula mezcladora</t>
  </si>
  <si>
    <t>l/h</t>
  </si>
  <si>
    <t>Unidad</t>
  </si>
  <si>
    <t>SEC</t>
  </si>
  <si>
    <t>Fabricante</t>
  </si>
  <si>
    <t>Lleno</t>
  </si>
  <si>
    <t>Termosifón</t>
  </si>
  <si>
    <t>Compacto</t>
  </si>
  <si>
    <t>Integrado</t>
  </si>
  <si>
    <t>Longitud</t>
  </si>
  <si>
    <t>Marca y modelo</t>
  </si>
  <si>
    <t>Seguridad</t>
  </si>
  <si>
    <t>Cerrado</t>
  </si>
  <si>
    <t>Termómetro</t>
  </si>
  <si>
    <t>Manómetro</t>
  </si>
  <si>
    <t>Caudalímetro</t>
  </si>
  <si>
    <t>Fluido primario</t>
  </si>
  <si>
    <t>Circuito secundario</t>
  </si>
  <si>
    <t>Solamente solar</t>
  </si>
  <si>
    <t>Fluido y drenaje del circuito</t>
  </si>
  <si>
    <t>Conductividad (W/m.K)</t>
  </si>
  <si>
    <t>Alimentación</t>
  </si>
  <si>
    <t>Drenaje interior</t>
  </si>
  <si>
    <t>Intercambiador de calor</t>
  </si>
  <si>
    <t>Fluido de trabajo</t>
  </si>
  <si>
    <t>TAMB</t>
  </si>
  <si>
    <t>FS</t>
  </si>
  <si>
    <t>APORTE</t>
  </si>
  <si>
    <t>AS UNI.</t>
  </si>
  <si>
    <t>litros/día</t>
  </si>
  <si>
    <t>Número de colectores por batería</t>
  </si>
  <si>
    <t>Proyecto estructural</t>
  </si>
  <si>
    <t>Potencia unitaria (W/m2)</t>
  </si>
  <si>
    <t>Temperatura de entrada (ºC)</t>
  </si>
  <si>
    <t>Temperatura de salida (ºC)</t>
  </si>
  <si>
    <t>Coeficiente de presiones</t>
  </si>
  <si>
    <t>FRUL</t>
  </si>
  <si>
    <t>FR(Ta)</t>
  </si>
  <si>
    <t>MAI</t>
  </si>
  <si>
    <t>SISTEMA DE ACUMULACIÓN</t>
  </si>
  <si>
    <t>Edificación</t>
  </si>
  <si>
    <t>Densidad</t>
  </si>
  <si>
    <t>Referencia de la certificación o autorización</t>
  </si>
  <si>
    <t>Número(s) de serie de fabricación</t>
  </si>
  <si>
    <t>Solución adoptada para equlibrado</t>
  </si>
  <si>
    <t>Conexionado en paralelo (1) o serie (2,3,…)</t>
  </si>
  <si>
    <t>Número de baterías por grupo</t>
  </si>
  <si>
    <t>Número de grupos de baterías de colectores</t>
  </si>
  <si>
    <t>Salto de temperaturas de diseño (K)</t>
  </si>
  <si>
    <t>SISTEMA DE INTERCAMBIO</t>
  </si>
  <si>
    <t>Material de las tuberías</t>
  </si>
  <si>
    <t>Potencia eléctrica de la bomba (W)</t>
  </si>
  <si>
    <t>Protección y acabado del aislamiento al interior</t>
  </si>
  <si>
    <t>Protección y acabado del aislamiento exterior</t>
  </si>
  <si>
    <t>Tipo de fluido en circuito primario</t>
  </si>
  <si>
    <t>Tipo y material de aislamiento de tuberias al exterior</t>
  </si>
  <si>
    <t>Tipo y material de aislamiento de tuberias al interior</t>
  </si>
  <si>
    <t>Componente crítico para definir presión máxima</t>
  </si>
  <si>
    <t>Criterio de protección por seguridad intrinseca</t>
  </si>
  <si>
    <t>Coeficiente de expansión térmica</t>
  </si>
  <si>
    <t>EXT</t>
  </si>
  <si>
    <t>Indirecto externo</t>
  </si>
  <si>
    <t>Indirecto interno</t>
  </si>
  <si>
    <t>En serie</t>
  </si>
  <si>
    <t>En paralelo</t>
  </si>
  <si>
    <t>CONFIGURACIÓN</t>
  </si>
  <si>
    <t>CONDICIONES DE OPERACIÓN</t>
  </si>
  <si>
    <t>PRIMARIO</t>
  </si>
  <si>
    <t>Presión máxima (bar)</t>
  </si>
  <si>
    <t>Presión mínima (bar)</t>
  </si>
  <si>
    <t>Temperatura máxima (ºC)</t>
  </si>
  <si>
    <t>Temperatura mínima (ºC)</t>
  </si>
  <si>
    <t>FLUIDOS DE TRABAJO</t>
  </si>
  <si>
    <t>Sistema de protección contra heladas</t>
  </si>
  <si>
    <t>DATOS GENERALES Y ANTECEDENTES</t>
  </si>
  <si>
    <t>Tipo de edificación</t>
  </si>
  <si>
    <t>Superficie de apertura del colector (m2)</t>
  </si>
  <si>
    <t>Potencia total nominal (kW)</t>
  </si>
  <si>
    <t>Caudal total circuito primario (l/h)</t>
  </si>
  <si>
    <t>Volumen unitario (litros)</t>
  </si>
  <si>
    <t>Volumen total (litros)</t>
  </si>
  <si>
    <t>Relación Volumen/Area de colectores (litros(m2)</t>
  </si>
  <si>
    <t>Control de proporción de mezcla</t>
  </si>
  <si>
    <t>Coef. rendimiento. Factor de pérdidas a2</t>
  </si>
  <si>
    <t>Coef. rendimiento. Factor de pérdidas a1</t>
  </si>
  <si>
    <t>Prefabricado</t>
  </si>
  <si>
    <t>Tipo de sistema solar térmico</t>
  </si>
  <si>
    <t>Coef. rendimiento. Factor óptico  η0</t>
  </si>
  <si>
    <t>Adjunto informe</t>
  </si>
  <si>
    <t>Sin datos</t>
  </si>
  <si>
    <t>Anticongelante</t>
  </si>
  <si>
    <t>Agua de red</t>
  </si>
  <si>
    <t>Proporción de mezcla (%)</t>
  </si>
  <si>
    <t>Características del anticongelante</t>
  </si>
  <si>
    <t>Automático</t>
  </si>
  <si>
    <t>SISTEMA DE MEDIDA</t>
  </si>
  <si>
    <t>Máximo recomendado</t>
  </si>
  <si>
    <t>Número de acumuladores (uds.)</t>
  </si>
  <si>
    <t>REF.:</t>
  </si>
  <si>
    <t>Cobre</t>
  </si>
  <si>
    <t>Tipo de intercambiador externo</t>
  </si>
  <si>
    <t>Placas</t>
  </si>
  <si>
    <t>Tubular</t>
  </si>
  <si>
    <t>Material en contacto con el ACS</t>
  </si>
  <si>
    <t>Titanio</t>
  </si>
  <si>
    <t>Efectividad del intercambiador</t>
  </si>
  <si>
    <t>SECUNDARIO</t>
  </si>
  <si>
    <t>Diámetro máximo de la tubería (pulgadas o mm.)</t>
  </si>
  <si>
    <t>Número de bombas en el circuito (uds.)</t>
  </si>
  <si>
    <t>Conductividad térmica del aislamiento al exterior (W/m.K)</t>
  </si>
  <si>
    <t>Espesor aislamiento al exterior para tub mayor diá. (mm.)</t>
  </si>
  <si>
    <t>Conductividad térmica del aislamiento al interior (W/m.K)</t>
  </si>
  <si>
    <t>Espesor aislamiento al interior para tub mayor diá. (mm.)</t>
  </si>
  <si>
    <t>Presión de trabajo máxima del sistema de expansión (bar)</t>
  </si>
  <si>
    <t>Presión de trabajo mínima del sistema de expansión (bar)</t>
  </si>
  <si>
    <t>Presión de precarga del gas sistema de expansión (bar)</t>
  </si>
  <si>
    <t>Volumen de reserva (litros)</t>
  </si>
  <si>
    <t>Volumen total del circuito (litros)</t>
  </si>
  <si>
    <t>Volumen de dilatación (litros)</t>
  </si>
  <si>
    <t>Volumen de vapor (litros)</t>
  </si>
  <si>
    <t>Volumen útil del sistema de expansión (litros)</t>
  </si>
  <si>
    <t>Volumen total calculado (litros)</t>
  </si>
  <si>
    <t>Número de vasos seleccionado (uds.)</t>
  </si>
  <si>
    <t>Presión nominal del vaso de expansión (bar)</t>
  </si>
  <si>
    <t>Volumen unitario nominal del vaso seleccionado (litros)</t>
  </si>
  <si>
    <t>Volumen total del sistema de expansión (litros)</t>
  </si>
  <si>
    <t>Separado/Partido</t>
  </si>
  <si>
    <t>Ensayo</t>
  </si>
  <si>
    <t>VMT en SST</t>
  </si>
  <si>
    <t>Rango regulación temperatura salida (ºC)</t>
  </si>
  <si>
    <t>Hidráulica</t>
  </si>
  <si>
    <t>Válvulas en acometida fría a SST</t>
  </si>
  <si>
    <t>Corte</t>
  </si>
  <si>
    <t>(IA) Área específica (m2/m2) intercambiador interno</t>
  </si>
  <si>
    <t>Serie</t>
  </si>
  <si>
    <t>Paralelo</t>
  </si>
  <si>
    <t>Diseño</t>
  </si>
  <si>
    <t>Selec.</t>
  </si>
  <si>
    <t>Caracteríticas del intercambiador</t>
  </si>
  <si>
    <t>V. corte</t>
  </si>
  <si>
    <t>Purgas</t>
  </si>
  <si>
    <t>Densidad fluido primario (kg/l)</t>
  </si>
  <si>
    <t>Calor especifico fluido secundario (J/kg·K)</t>
  </si>
  <si>
    <t>Calor especifico fluido primario (J/kg·K)</t>
  </si>
  <si>
    <t>Densidad fluido secundario (kg/l)</t>
  </si>
  <si>
    <t>Por gravedad</t>
  </si>
  <si>
    <t>Bomba móvil</t>
  </si>
  <si>
    <t>Depósito fijo</t>
  </si>
  <si>
    <t>Sensores obligatorios</t>
  </si>
  <si>
    <t>Configuración considerada</t>
  </si>
  <si>
    <t>C1</t>
  </si>
  <si>
    <t>C2</t>
  </si>
  <si>
    <t>C3</t>
  </si>
  <si>
    <t>C4</t>
  </si>
  <si>
    <t>Sensores recomendados</t>
  </si>
  <si>
    <t>Sistema de monitoreo</t>
  </si>
  <si>
    <t>Estrategia de control</t>
  </si>
  <si>
    <t>Posición de sondas en esquema</t>
  </si>
  <si>
    <t>Crepuscular</t>
  </si>
  <si>
    <t>Tipo control bomba secundario</t>
  </si>
  <si>
    <t>Tipo control bomba primario</t>
  </si>
  <si>
    <t>Bomba secundario</t>
  </si>
  <si>
    <t>Bomba primario</t>
  </si>
  <si>
    <t>Reforma</t>
  </si>
  <si>
    <t>Latitud</t>
  </si>
  <si>
    <t>Esquema eléctrico y de control. Detalles de posición de sondas y elementos de campo</t>
  </si>
  <si>
    <t>Sistema de energía auxiliar</t>
  </si>
  <si>
    <t>Protección exterior estructura</t>
  </si>
  <si>
    <t>Control equilibrado a largo plazo</t>
  </si>
  <si>
    <t>Potencia de diseño intercambiador (kW)</t>
  </si>
  <si>
    <t>Previstos</t>
  </si>
  <si>
    <t>Número de viviendas</t>
  </si>
  <si>
    <t>Factor de centralización (FC)</t>
  </si>
  <si>
    <t>kg/litro</t>
  </si>
  <si>
    <t>J/kg.K</t>
  </si>
  <si>
    <t>Conex.</t>
  </si>
  <si>
    <t>Calor esp</t>
  </si>
  <si>
    <t>W/m2.K</t>
  </si>
  <si>
    <t>PARÁMETROS FUNCIONALES</t>
  </si>
  <si>
    <t>RESULTADOS DEL CÁLCULO DE PRESTACIONES ENERGÉTICAS</t>
  </si>
  <si>
    <t>-</t>
  </si>
  <si>
    <t>Expansión</t>
  </si>
  <si>
    <t>Emplazamiento edificio, colectores y sala técnica. Orientación, obstáculos  y sombras</t>
  </si>
  <si>
    <t>Ubicación de colectores (separaciones, distancias entre ellos y a obstáculos, accesos)</t>
  </si>
  <si>
    <t>Distribución sala técnica y situación acumulación, intercambio, bombas, expansión y control</t>
  </si>
  <si>
    <t>Diseño de estructura y sujeción de colectores y acumuladores. Soportes y detalles constructivos</t>
  </si>
  <si>
    <t>Esquema de funcionamiento completo. Diagrama o esquema de principio</t>
  </si>
  <si>
    <t>Sistema de energía auxiliar. Integración y conexión con las restantes instalaciones del edificio</t>
  </si>
  <si>
    <t>Complementos hidráulicos: sistema de sistemas de llenado, purga y vaciado. Sistema de medida</t>
  </si>
  <si>
    <t>CIRCUITO DE CONSUMO (INSTALACIÓN SANITARIA)</t>
  </si>
  <si>
    <t>P1</t>
  </si>
  <si>
    <t>P2</t>
  </si>
  <si>
    <t>P3</t>
  </si>
  <si>
    <t>P4</t>
  </si>
  <si>
    <t>P5</t>
  </si>
  <si>
    <t>P6</t>
  </si>
  <si>
    <t>P7</t>
  </si>
  <si>
    <t>P8</t>
  </si>
  <si>
    <t>P9</t>
  </si>
  <si>
    <t>F01</t>
  </si>
  <si>
    <t>F02</t>
  </si>
  <si>
    <t>F03</t>
  </si>
  <si>
    <t>F04</t>
  </si>
  <si>
    <t>F05</t>
  </si>
  <si>
    <t>F06</t>
  </si>
  <si>
    <t>F07</t>
  </si>
  <si>
    <t>F08</t>
  </si>
  <si>
    <t>F09</t>
  </si>
  <si>
    <t>F10</t>
  </si>
  <si>
    <t>F11</t>
  </si>
  <si>
    <t>F12</t>
  </si>
  <si>
    <t>F13</t>
  </si>
  <si>
    <t>F14</t>
  </si>
  <si>
    <t>F15</t>
  </si>
  <si>
    <t>DISyREC</t>
  </si>
  <si>
    <t>Tubería material plástico</t>
  </si>
  <si>
    <t>Válvula de equilibrado</t>
  </si>
  <si>
    <t>F16</t>
  </si>
  <si>
    <t>F17</t>
  </si>
  <si>
    <t>F18</t>
  </si>
  <si>
    <t>PLANOS Y ESQUEMAS</t>
  </si>
  <si>
    <t>Válvula seguridad TP</t>
  </si>
  <si>
    <t>Marca de sistema solar prefabricado SSP</t>
  </si>
  <si>
    <t>Número de equipos SSP de la instalación (uds)</t>
  </si>
  <si>
    <t>Temp máxima soportada por circuito hasta SEA (ºC)</t>
  </si>
  <si>
    <t>DATOS DE PARTIDA: PARÁMETROS DE USO Y CLIMÁTICOS</t>
  </si>
  <si>
    <t>Temp máxima establecida por:</t>
  </si>
  <si>
    <t>Compatibilidad materiales para circuito ACS</t>
  </si>
  <si>
    <t>Previsión escapes conducidos visibles y seguros</t>
  </si>
  <si>
    <t>Efectos pérdidas de carga diferenciales en consumo</t>
  </si>
  <si>
    <t>Trazado de circuitos hidráulicos, diseño y situación componentes (v corte, seguridad, purga, …)</t>
  </si>
  <si>
    <t>Número de colectores (uds.)</t>
  </si>
  <si>
    <t>Vol acumulación solar (V en litros)</t>
  </si>
  <si>
    <t>Caudal específico en el colector (l/h.m2)</t>
  </si>
  <si>
    <t>Caudal específico en la instalación (l/h.m2)</t>
  </si>
  <si>
    <t>Si paralelo: forma conmutar SST-SEA</t>
  </si>
  <si>
    <t>Si paralelo: justificar tipo de conexión</t>
  </si>
  <si>
    <t>Causa:</t>
  </si>
  <si>
    <t>RTI</t>
  </si>
  <si>
    <t>Para limitar presión circuito consumo</t>
  </si>
  <si>
    <t>Válvula TP</t>
  </si>
  <si>
    <t>Mín</t>
  </si>
  <si>
    <t>Máx</t>
  </si>
  <si>
    <t>Número y potencia de generadores calor</t>
  </si>
  <si>
    <t>Uds</t>
  </si>
  <si>
    <t>Minimizar auxiliar</t>
  </si>
  <si>
    <t>Maximizar solar</t>
  </si>
  <si>
    <t>Señalización visible</t>
  </si>
  <si>
    <t>Funcionamiento</t>
  </si>
  <si>
    <t>Valores de seteo del diferencial temp</t>
  </si>
  <si>
    <t>Marcha si &gt; (ºC)</t>
  </si>
  <si>
    <t>Paro si &lt; (ºC)</t>
  </si>
  <si>
    <t>Punto de congelación de la mezcla (ºC)</t>
  </si>
  <si>
    <t>Capacidad calorífica específica (W/m2.K)</t>
  </si>
  <si>
    <t>Agua</t>
  </si>
  <si>
    <t>Pérdidas sombras (%)</t>
  </si>
  <si>
    <t>4D</t>
  </si>
  <si>
    <t>3D</t>
  </si>
  <si>
    <t>2D</t>
  </si>
  <si>
    <t>1D</t>
  </si>
  <si>
    <t>Ocupación total</t>
  </si>
  <si>
    <t>Número total de personas</t>
  </si>
  <si>
    <t>Mat. Plástico</t>
  </si>
  <si>
    <t>Largo (m)</t>
  </si>
  <si>
    <t>Ancho (m)</t>
  </si>
  <si>
    <t>Profundidad media (m)</t>
  </si>
  <si>
    <t>MEMORIA TÉCNICA - DISEÑO Y CÁLCULO DEL SISTEMA SOLAR TÉRMICO</t>
  </si>
  <si>
    <t>(IA) Área útil del intercambiador interno (m2)</t>
  </si>
  <si>
    <t>Nombre</t>
  </si>
  <si>
    <t>Calle y número</t>
  </si>
  <si>
    <t>Ciudad</t>
  </si>
  <si>
    <t>Domicilio calle y número</t>
  </si>
  <si>
    <t>Proyecto</t>
  </si>
  <si>
    <t>Nombre del proyecto</t>
  </si>
  <si>
    <t>Correo electrónico</t>
  </si>
  <si>
    <t>Nombre Comercial y Razón social</t>
  </si>
  <si>
    <t>Localización proyecto</t>
  </si>
  <si>
    <t>W/K</t>
  </si>
  <si>
    <t>Sistema de preparación mezcla del fluido del primario</t>
  </si>
  <si>
    <t>Sistema de llenado del circuito primario</t>
  </si>
  <si>
    <t>Calor específico de fluidos (J/kg.K)</t>
  </si>
  <si>
    <t>Densidad de fluidos (g/cm3)</t>
  </si>
  <si>
    <t>Qesp col</t>
  </si>
  <si>
    <t>Qesp ins</t>
  </si>
  <si>
    <t>Capacidad calorífica del primario (W/K)</t>
  </si>
  <si>
    <t>Capacidad calorífica del secundario (W/K)</t>
  </si>
  <si>
    <t>Circulación</t>
  </si>
  <si>
    <t>Intercambiador</t>
  </si>
  <si>
    <t>Acoplamiento entre colector y acumulador</t>
  </si>
  <si>
    <t>Temperatura de preparación del sistema de apoyo (ºC)</t>
  </si>
  <si>
    <t>Temperatura de estancamiento del colector (ºC)</t>
  </si>
  <si>
    <t>PRI-sup</t>
  </si>
  <si>
    <t>SEC-sup</t>
  </si>
  <si>
    <t>CON-sup</t>
  </si>
  <si>
    <t>PRI-inf</t>
  </si>
  <si>
    <t>SEC-inf</t>
  </si>
  <si>
    <t>CON-inf</t>
  </si>
  <si>
    <t>PRI:</t>
  </si>
  <si>
    <t>SEC:</t>
  </si>
  <si>
    <t>Altura (m.) entre parte superior (sup) e inferior (inf)</t>
  </si>
  <si>
    <t>CON:</t>
  </si>
  <si>
    <t>Referencia y disponibilidad del informe de ensayo</t>
  </si>
  <si>
    <t>Modelo y ref. tamaño</t>
  </si>
  <si>
    <t>Modelo y referencia a tamaño</t>
  </si>
  <si>
    <t>A soportar (ºC)</t>
  </si>
  <si>
    <t>Mezcla propilen.</t>
  </si>
  <si>
    <t>Otros sistemas de protección relativas a presiones</t>
  </si>
  <si>
    <t>Exoneración justificada por zonas en sombra</t>
  </si>
  <si>
    <t>Presiones de la red de alimentación (bar)</t>
  </si>
  <si>
    <t>SISTEMA DE ENERGÍA AUXILIAR O DE APOYO</t>
  </si>
  <si>
    <t>Diámetro (mm)</t>
  </si>
  <si>
    <t>Aislamiento en la conexión de agua caliente</t>
  </si>
  <si>
    <t>Espesor (mm)</t>
  </si>
  <si>
    <t>Temperatura de preparación (de seteo) (ºC)</t>
  </si>
  <si>
    <t>Cálculo de las pérdidas por sombras (%)</t>
  </si>
  <si>
    <t>Sistema sujeción colectores descrito en manual fabricante</t>
  </si>
  <si>
    <t>Todas las baterias y grupos de colectores son iguales</t>
  </si>
  <si>
    <t>Conexionado de varios acumuladores</t>
  </si>
  <si>
    <t xml:space="preserve"> ¿Iguales:?</t>
  </si>
  <si>
    <t>Proyecto estructural de acumuladores (en DA2)</t>
  </si>
  <si>
    <t>Accesorios de instalación para sistemas con A &gt; 100 m2</t>
  </si>
  <si>
    <t>Pérdida de carga primario (kPa)</t>
  </si>
  <si>
    <t>Pérdida de carga secundario (kPa)</t>
  </si>
  <si>
    <t>¿ ≥ 0,2 ?</t>
  </si>
  <si>
    <t>Cantidad de circuitos en paralelo</t>
  </si>
  <si>
    <t>Justificado:</t>
  </si>
  <si>
    <t>Suma de potencias eléctricas (pri + sec) (W) y % sobre total</t>
  </si>
  <si>
    <t>Marca y modelo del sistema de control</t>
  </si>
  <si>
    <t>Referencia y disponibilidad manual de instalación</t>
  </si>
  <si>
    <t>Limitación temp máxima en acumulador (ºC) y actuación</t>
  </si>
  <si>
    <t>Limitación temp máxima en primario (ºC) y actuación</t>
  </si>
  <si>
    <t>Limitación temp mínima en primario (ºC) y actuación</t>
  </si>
  <si>
    <t>Otro control y actuación</t>
  </si>
  <si>
    <t>F19</t>
  </si>
  <si>
    <t>Q total</t>
  </si>
  <si>
    <t>Temp (ºC)</t>
  </si>
  <si>
    <t>Pres (bar)</t>
  </si>
  <si>
    <t>Verificada velocidad y pérdida de carga en tuberías</t>
  </si>
  <si>
    <t>P=1, S=2,..</t>
  </si>
  <si>
    <t>Modelo y referencia de tamaño</t>
  </si>
  <si>
    <t>Sistema prefabricado</t>
  </si>
  <si>
    <t>Cap cal</t>
  </si>
  <si>
    <t>Cap cal es</t>
  </si>
  <si>
    <t>Referencia de la certificación o autorización del SSP</t>
  </si>
  <si>
    <t>Propietario o represen-tante</t>
  </si>
  <si>
    <t>Nº Carpeta Catastral</t>
  </si>
  <si>
    <t>Nº de padrón</t>
  </si>
  <si>
    <t>Orientación (º):</t>
  </si>
  <si>
    <t>Inclinación (º):</t>
  </si>
  <si>
    <t>Establecida por fabricante</t>
  </si>
  <si>
    <t>Acción combinada temperatura/presión</t>
  </si>
  <si>
    <t>Previsión válvulas por grupo: corte y seguridad</t>
  </si>
  <si>
    <t>Composición:</t>
  </si>
  <si>
    <t>C.I.</t>
  </si>
  <si>
    <t>C.P.</t>
  </si>
  <si>
    <t>Para conexión en paralelo, se adopta solución de equlibrado</t>
  </si>
  <si>
    <t>Seleccionado marca, modelo y tamaño</t>
  </si>
  <si>
    <t>Marca, modelo y tamaño de bomba seleccionada</t>
  </si>
  <si>
    <t>Caudal total diseño y de la bomba (l/h)</t>
  </si>
  <si>
    <t>Tipo de conexión entre SST y SEA</t>
  </si>
  <si>
    <t>Medidas de presión</t>
  </si>
  <si>
    <t>Medidas de temperatura</t>
  </si>
  <si>
    <t>Medidas de caudal</t>
  </si>
  <si>
    <t>Medidas de energía</t>
  </si>
  <si>
    <t>Rotámetro</t>
  </si>
  <si>
    <t>Medidas de radiación</t>
  </si>
  <si>
    <t>Parcial</t>
  </si>
  <si>
    <t>Piranómetro</t>
  </si>
  <si>
    <t>Equipamiento mínimo</t>
  </si>
  <si>
    <t>Individual</t>
  </si>
  <si>
    <t>Instantáneo</t>
  </si>
  <si>
    <t>Acumulación</t>
  </si>
  <si>
    <t>Energía de apoyo</t>
  </si>
  <si>
    <t>SEA con acumulación</t>
  </si>
  <si>
    <t>SEA instantáneo</t>
  </si>
  <si>
    <t>Calentador</t>
  </si>
  <si>
    <t>Marca y modelo del sistema de auxiliar</t>
  </si>
  <si>
    <t>Referencia y disponibilidad de informe de ensayo</t>
  </si>
  <si>
    <t>Aplicación del aporte de energía auxiliar</t>
  </si>
  <si>
    <t>Forma de aporte de energía auxiliar</t>
  </si>
  <si>
    <t>Número y potencia de intercambio auxiliar (kW)</t>
  </si>
  <si>
    <t>Número y volumen de acumulación auxiliar (litros)</t>
  </si>
  <si>
    <t xml:space="preserve"> litros</t>
  </si>
  <si>
    <t>kW</t>
  </si>
  <si>
    <t>Tot. (kW)</t>
  </si>
  <si>
    <t>Tot. (litr.)</t>
  </si>
  <si>
    <t>Criterio:</t>
  </si>
  <si>
    <t>ACS</t>
  </si>
  <si>
    <t>Dpto</t>
  </si>
  <si>
    <t>Presión nominal (bar) = tarado válvula seguridad</t>
  </si>
  <si>
    <t>Presión máxima (bar) del componente crítico</t>
  </si>
  <si>
    <t>Tipo de proyecto</t>
  </si>
  <si>
    <t>Reg DNE</t>
  </si>
  <si>
    <t>Instalación ACS y red sanitaria</t>
  </si>
  <si>
    <t>Variables cálculos radiación:</t>
  </si>
  <si>
    <t>Datos para cálculo piscina:</t>
  </si>
  <si>
    <t>Viviendas</t>
  </si>
  <si>
    <t>Consumos unitarios (l/p.d)</t>
  </si>
  <si>
    <t>Nº de viviendas</t>
  </si>
  <si>
    <t>Dormit./ vivienda</t>
  </si>
  <si>
    <t>Personas / dormit.</t>
  </si>
  <si>
    <t>Contacto con la atmósfera del primario</t>
  </si>
  <si>
    <t>Caudal de ensayo (l/h.m2) y límites de validez</t>
  </si>
  <si>
    <t>misma?</t>
  </si>
  <si>
    <t>Pérdida de carga total y presión de la bomba (mca)</t>
  </si>
  <si>
    <t>Aislamiento tuberías. Protección ext</t>
  </si>
  <si>
    <t>FLU</t>
  </si>
  <si>
    <t>Cumple requisitos geométricos</t>
  </si>
  <si>
    <t>Informe de sombras</t>
  </si>
  <si>
    <t>Si serie: protección de la conexión del SEA</t>
  </si>
  <si>
    <t>Condiciones funcionamiento del SEA si es existente</t>
  </si>
  <si>
    <t>Describir:</t>
  </si>
  <si>
    <t>≥ 525 ?</t>
  </si>
  <si>
    <t>= sec ?</t>
  </si>
  <si>
    <t xml:space="preserve"> = 50 ?</t>
  </si>
  <si>
    <r>
      <rPr>
        <sz val="8"/>
        <color theme="1"/>
        <rFont val="Calibri"/>
        <family val="2"/>
      </rPr>
      <t>≤</t>
    </r>
    <r>
      <rPr>
        <sz val="8"/>
        <color theme="1"/>
        <rFont val="Arial Narrow"/>
        <family val="2"/>
      </rPr>
      <t xml:space="preserve"> 20 ?</t>
    </r>
  </si>
  <si>
    <t>≥ 45 ?</t>
  </si>
  <si>
    <t>&gt; 0,7 ?</t>
  </si>
  <si>
    <t>Caudal del circuito primario (l/h)</t>
  </si>
  <si>
    <t>Caudal del circuito secundario (l/h)</t>
  </si>
  <si>
    <t>dif &lt; 10%  ?</t>
  </si>
  <si>
    <t>Selec</t>
  </si>
  <si>
    <t>¿Es adecuado?</t>
  </si>
  <si>
    <t>Funcionamiento automático y manual</t>
  </si>
  <si>
    <t>Consumo diario (l/d)</t>
  </si>
  <si>
    <t>T ambiente:</t>
  </si>
  <si>
    <t>T agua fría:</t>
  </si>
  <si>
    <t>Temperaturas (ºC)</t>
  </si>
  <si>
    <t>referencia:</t>
  </si>
  <si>
    <t>uso:</t>
  </si>
  <si>
    <t>distribución:</t>
  </si>
  <si>
    <t>preparación:</t>
  </si>
  <si>
    <t>Diseño de la conexión de agua fría y caliente</t>
  </si>
  <si>
    <t>Válvulas de vaciado y purga</t>
  </si>
  <si>
    <t>Sensores equipo de control</t>
  </si>
  <si>
    <t>Sensores sIstema de medida</t>
  </si>
  <si>
    <t>Vaso de expansión</t>
  </si>
  <si>
    <t>PRI.EST</t>
  </si>
  <si>
    <t>PRI.VAP</t>
  </si>
  <si>
    <t>PRI.RES</t>
  </si>
  <si>
    <t>PRI.EXT</t>
  </si>
  <si>
    <t>PRI.INT</t>
  </si>
  <si>
    <t>SEC.EXT</t>
  </si>
  <si>
    <t>SEC.INT</t>
  </si>
  <si>
    <t>CON.EXT</t>
  </si>
  <si>
    <t>CON.INT</t>
  </si>
  <si>
    <t>Máxima</t>
  </si>
  <si>
    <t>Nominal</t>
  </si>
  <si>
    <t>Mínima</t>
  </si>
  <si>
    <t>CONSU</t>
  </si>
  <si>
    <r>
      <t>DE</t>
    </r>
    <r>
      <rPr>
        <vertAlign val="subscript"/>
        <sz val="8"/>
        <rFont val="Arial Narrow"/>
        <family val="2"/>
      </rPr>
      <t>TOT</t>
    </r>
  </si>
  <si>
    <t>Interno</t>
  </si>
  <si>
    <t>Externo</t>
  </si>
  <si>
    <t>Tipo de intercambiador para ACS</t>
  </si>
  <si>
    <t>Sólo ACS</t>
  </si>
  <si>
    <t>ACS y piscina</t>
  </si>
  <si>
    <t>Demanda térmica agua reposición (kWh/año)</t>
  </si>
  <si>
    <t>Pérdidas térmicas anual del vaso (kWh/año)</t>
  </si>
  <si>
    <t>Fuente para definir temperatura estancamiento</t>
  </si>
  <si>
    <t>Superficie de apertura total (m2)</t>
  </si>
  <si>
    <t>&gt;2</t>
  </si>
  <si>
    <t>Orientación (¿la misma para todos?)</t>
  </si>
  <si>
    <t>Procedimiento definición de aislamiento</t>
  </si>
  <si>
    <t>Simplificado</t>
  </si>
  <si>
    <t>Ejecución del aislamiento y protección</t>
  </si>
  <si>
    <t>Fábrica</t>
  </si>
  <si>
    <t>In situ</t>
  </si>
  <si>
    <t>Tipo y material de aislamiento acumulador</t>
  </si>
  <si>
    <t>Espesor aislamiento acumulador (mm.)</t>
  </si>
  <si>
    <t>Protección y acabado exterior del aislamiento</t>
  </si>
  <si>
    <t>¿  ≥ 50 mm. ?</t>
  </si>
  <si>
    <t>Inclinación (¿la misma?) y entre limites del fabricante</t>
  </si>
  <si>
    <t>Caudal diseño (l/m)</t>
  </si>
  <si>
    <t>INFORMACIÓN COMPLEMENTARIA</t>
  </si>
  <si>
    <t>Radiación</t>
  </si>
  <si>
    <r>
      <t>Superficie (m</t>
    </r>
    <r>
      <rPr>
        <vertAlign val="superscript"/>
        <sz val="8"/>
        <color indexed="8"/>
        <rFont val="Arial Narrow"/>
        <family val="2"/>
      </rPr>
      <t>2</t>
    </r>
    <r>
      <rPr>
        <sz val="8"/>
        <color indexed="8"/>
        <rFont val="Arial Narrow"/>
        <family val="2"/>
      </rPr>
      <t>)</t>
    </r>
  </si>
  <si>
    <r>
      <t>Volumen (m</t>
    </r>
    <r>
      <rPr>
        <vertAlign val="superscript"/>
        <sz val="8"/>
        <color indexed="8"/>
        <rFont val="Arial Narrow"/>
        <family val="2"/>
      </rPr>
      <t>3</t>
    </r>
    <r>
      <rPr>
        <sz val="8"/>
        <color indexed="8"/>
        <rFont val="Arial Narrow"/>
        <family val="2"/>
      </rPr>
      <t>)</t>
    </r>
  </si>
  <si>
    <t>Consumo diario agua reposición 24ºC (l/d)</t>
  </si>
  <si>
    <r>
      <rPr>
        <sz val="8"/>
        <color indexed="8"/>
        <rFont val="Arial Narrow"/>
        <family val="2"/>
      </rPr>
      <t>η</t>
    </r>
    <r>
      <rPr>
        <vertAlign val="subscript"/>
        <sz val="8"/>
        <color indexed="8"/>
        <rFont val="Arial Narrow"/>
        <family val="2"/>
      </rPr>
      <t>0</t>
    </r>
  </si>
  <si>
    <r>
      <t>a</t>
    </r>
    <r>
      <rPr>
        <vertAlign val="subscript"/>
        <sz val="8"/>
        <color indexed="8"/>
        <rFont val="Arial Narrow"/>
        <family val="2"/>
      </rPr>
      <t>1</t>
    </r>
  </si>
  <si>
    <r>
      <t>a</t>
    </r>
    <r>
      <rPr>
        <vertAlign val="subscript"/>
        <sz val="8"/>
        <color indexed="8"/>
        <rFont val="Arial Narrow"/>
        <family val="2"/>
      </rPr>
      <t>2</t>
    </r>
  </si>
  <si>
    <t>CALETUS v0.0</t>
  </si>
  <si>
    <t>MES</t>
  </si>
  <si>
    <r>
      <t>PT</t>
    </r>
    <r>
      <rPr>
        <vertAlign val="subscript"/>
        <sz val="8"/>
        <rFont val="Tahoma"/>
        <family val="2"/>
      </rPr>
      <t>VP</t>
    </r>
  </si>
  <si>
    <r>
      <t>DE</t>
    </r>
    <r>
      <rPr>
        <vertAlign val="subscript"/>
        <sz val="8"/>
        <rFont val="Tahoma"/>
        <family val="2"/>
      </rPr>
      <t>REP</t>
    </r>
  </si>
  <si>
    <r>
      <t>DE</t>
    </r>
    <r>
      <rPr>
        <vertAlign val="subscript"/>
        <sz val="8"/>
        <rFont val="Tahoma"/>
        <family val="2"/>
      </rPr>
      <t>ACS</t>
    </r>
  </si>
  <si>
    <t>FCT</t>
  </si>
  <si>
    <t>X</t>
  </si>
  <si>
    <t>Y</t>
  </si>
  <si>
    <t>f</t>
  </si>
  <si>
    <t>MED</t>
  </si>
  <si>
    <t>Colectores asignados al ACS:</t>
  </si>
  <si>
    <t>Relación volumen/area (litros/m2)</t>
  </si>
  <si>
    <r>
      <t>V/A</t>
    </r>
    <r>
      <rPr>
        <vertAlign val="subscript"/>
        <sz val="8"/>
        <color theme="1"/>
        <rFont val="Arial Narrow"/>
        <family val="2"/>
      </rPr>
      <t>TOT</t>
    </r>
  </si>
  <si>
    <r>
      <t>V/A</t>
    </r>
    <r>
      <rPr>
        <vertAlign val="subscript"/>
        <sz val="8"/>
        <color theme="1"/>
        <rFont val="Arial Narrow"/>
        <family val="2"/>
      </rPr>
      <t>ACS</t>
    </r>
  </si>
  <si>
    <t>Dimensionado circuitos</t>
  </si>
  <si>
    <t>l/h.col</t>
  </si>
  <si>
    <t>Q pri</t>
  </si>
  <si>
    <t>Efect. Inter.</t>
  </si>
  <si>
    <r>
      <t>¿ V/A</t>
    </r>
    <r>
      <rPr>
        <vertAlign val="subscript"/>
        <sz val="8"/>
        <color theme="1"/>
        <rFont val="Arial Narrow"/>
        <family val="2"/>
      </rPr>
      <t>ACS</t>
    </r>
    <r>
      <rPr>
        <sz val="8"/>
        <color theme="1"/>
        <rFont val="Arial Narrow"/>
        <family val="2"/>
      </rPr>
      <t xml:space="preserve"> ≥ 60 ?</t>
    </r>
  </si>
  <si>
    <t>(Q2-Q1)/Q1</t>
  </si>
  <si>
    <t>kWh/m2.d</t>
  </si>
  <si>
    <t>TOT</t>
  </si>
  <si>
    <t>Método de cálculo utilizado y versión:</t>
  </si>
  <si>
    <t>FCV:</t>
  </si>
  <si>
    <t>FIC:</t>
  </si>
  <si>
    <t>SISTEMAS A MEDIDA</t>
  </si>
  <si>
    <t>PREFABRICADOS</t>
  </si>
  <si>
    <t>PD</t>
  </si>
  <si>
    <t>PC</t>
  </si>
  <si>
    <t>PB</t>
  </si>
  <si>
    <t>AP</t>
  </si>
  <si>
    <t>pd</t>
  </si>
  <si>
    <t>pc</t>
  </si>
  <si>
    <t>pb</t>
  </si>
  <si>
    <t>PE</t>
  </si>
  <si>
    <t>pe</t>
  </si>
  <si>
    <t>ARTIGAS</t>
  </si>
  <si>
    <t>CANELONES</t>
  </si>
  <si>
    <t>CERRO LARGO</t>
  </si>
  <si>
    <t>COLONIA</t>
  </si>
  <si>
    <t>DURAZNO</t>
  </si>
  <si>
    <t>FLORES</t>
  </si>
  <si>
    <t>FLORIDA</t>
  </si>
  <si>
    <t>LAVALLEJA</t>
  </si>
  <si>
    <t>MALDONADO</t>
  </si>
  <si>
    <t>MONTEVIDEO</t>
  </si>
  <si>
    <t>PAYSANDÚ</t>
  </si>
  <si>
    <t>RIVERA</t>
  </si>
  <si>
    <t xml:space="preserve">ROCHA </t>
  </si>
  <si>
    <t xml:space="preserve">SALTO </t>
  </si>
  <si>
    <t>SAN JOSÉ</t>
  </si>
  <si>
    <t>SORIANO</t>
  </si>
  <si>
    <t>TACUAREMBÓ</t>
  </si>
  <si>
    <t xml:space="preserve">TREINTA Y TRES </t>
  </si>
  <si>
    <t>RIO NEGRO</t>
  </si>
  <si>
    <t>DEPARTAMENTO</t>
  </si>
  <si>
    <t>ar</t>
  </si>
  <si>
    <t>ca</t>
  </si>
  <si>
    <t>co</t>
  </si>
  <si>
    <t>du</t>
  </si>
  <si>
    <t>fl</t>
  </si>
  <si>
    <t>la</t>
  </si>
  <si>
    <t>ma</t>
  </si>
  <si>
    <t>pa</t>
  </si>
  <si>
    <t>ri</t>
  </si>
  <si>
    <t>ro</t>
  </si>
  <si>
    <t>sa</t>
  </si>
  <si>
    <t>so</t>
  </si>
  <si>
    <t>ta</t>
  </si>
  <si>
    <t>cl</t>
  </si>
  <si>
    <t>rn</t>
  </si>
  <si>
    <t>sj</t>
  </si>
  <si>
    <t>tt</t>
  </si>
  <si>
    <t>ARTIGAS DEPARTAMENTO</t>
  </si>
  <si>
    <t>IRRADIACIÓN SOLAR MENSUAL Y ANUAL CAPTADA</t>
  </si>
  <si>
    <t>LAT</t>
  </si>
  <si>
    <t>30.60</t>
  </si>
  <si>
    <t>LON</t>
  </si>
  <si>
    <t>57.00</t>
  </si>
  <si>
    <t>Promedio diario para varias inclinaciones, azimuth Norte. Valores en MJ/m2.</t>
  </si>
  <si>
    <t>inc.</t>
  </si>
  <si>
    <t>anual</t>
  </si>
  <si>
    <t>CANELONES DEPARTAMENTO</t>
  </si>
  <si>
    <t>34.50</t>
  </si>
  <si>
    <t>56.00</t>
  </si>
  <si>
    <t>CERRO LARGO DEPARTAMENTO</t>
  </si>
  <si>
    <t>32.30</t>
  </si>
  <si>
    <t>54.35</t>
  </si>
  <si>
    <t>COLONIA DEPARTAMENTO</t>
  </si>
  <si>
    <t>34.15</t>
  </si>
  <si>
    <t>57.65</t>
  </si>
  <si>
    <t>DURAZNO DEPARTAMENTO</t>
  </si>
  <si>
    <t>33.10</t>
  </si>
  <si>
    <t>FLORES DEPARTAMENTO</t>
  </si>
  <si>
    <t>33.55</t>
  </si>
  <si>
    <t>56.90</t>
  </si>
  <si>
    <t>fs</t>
  </si>
  <si>
    <t>FLORIDA DEPARTAMENTO</t>
  </si>
  <si>
    <t>33.80</t>
  </si>
  <si>
    <t>55.95</t>
  </si>
  <si>
    <t>LAVALLEJA DEPARTAMENTO</t>
  </si>
  <si>
    <t>33.90</t>
  </si>
  <si>
    <t>55.00</t>
  </si>
  <si>
    <t>MALDONADO DEPARTAMENTO</t>
  </si>
  <si>
    <t>34.65</t>
  </si>
  <si>
    <t>54.90</t>
  </si>
  <si>
    <t>MONTEVIDEO DEPARTAMENTO</t>
  </si>
  <si>
    <t>34.80</t>
  </si>
  <si>
    <t>56.15</t>
  </si>
  <si>
    <t>PAYSANDÚ DEPARTAMENTO</t>
  </si>
  <si>
    <t>32.05</t>
  </si>
  <si>
    <t>57.30</t>
  </si>
  <si>
    <t>mv</t>
  </si>
  <si>
    <t>RIO NEGRO DEPARTAMENTO</t>
  </si>
  <si>
    <t>32.70</t>
  </si>
  <si>
    <t>57.45</t>
  </si>
  <si>
    <t>RIVERA DEPARTAMENTO</t>
  </si>
  <si>
    <t>31.50</t>
  </si>
  <si>
    <t>55.20</t>
  </si>
  <si>
    <t>ROCHA DEPARTAMENTO</t>
  </si>
  <si>
    <t>54.00</t>
  </si>
  <si>
    <t>SALTO DEPARTAMENTO</t>
  </si>
  <si>
    <t>31.35</t>
  </si>
  <si>
    <t>57.10</t>
  </si>
  <si>
    <t>SAN JOSÉ DEPARTAMENTO</t>
  </si>
  <si>
    <t>34.25</t>
  </si>
  <si>
    <t>56.75</t>
  </si>
  <si>
    <t>SORIANO DEPARTAMENTO</t>
  </si>
  <si>
    <t>33.50</t>
  </si>
  <si>
    <t>57.80</t>
  </si>
  <si>
    <t>TACUAREMBÓ DEPARTAMENTO</t>
  </si>
  <si>
    <t>32.15</t>
  </si>
  <si>
    <t>55.80</t>
  </si>
  <si>
    <t>TREINTA Y TRES DEPARTAMENTO</t>
  </si>
  <si>
    <t>33.05</t>
  </si>
  <si>
    <t>54.30</t>
  </si>
  <si>
    <t>SET</t>
  </si>
  <si>
    <t>MEDIA</t>
  </si>
  <si>
    <t>SALTO</t>
  </si>
  <si>
    <t>PAYSANDU</t>
  </si>
  <si>
    <t>MELO</t>
  </si>
  <si>
    <t>PASO DE LOS TOROS</t>
  </si>
  <si>
    <t>TREINTA Y TRES</t>
  </si>
  <si>
    <t>MERCEDES</t>
  </si>
  <si>
    <t>ROCHA</t>
  </si>
  <si>
    <t>CARRASCO</t>
  </si>
  <si>
    <t>RO+CA</t>
  </si>
  <si>
    <t>CO+CA</t>
  </si>
  <si>
    <t>PA+SO</t>
  </si>
  <si>
    <t>CA+TT</t>
  </si>
  <si>
    <t>DU+CA</t>
  </si>
  <si>
    <t>SJ+RN</t>
  </si>
  <si>
    <t>TEMP AMBIENTE</t>
  </si>
  <si>
    <t>TEMP AGUA FRÍA</t>
  </si>
  <si>
    <t>Tambiente</t>
  </si>
  <si>
    <t>Taguafría</t>
  </si>
  <si>
    <t>2.1</t>
  </si>
  <si>
    <t>2.2</t>
  </si>
  <si>
    <t>2.3</t>
  </si>
  <si>
    <t>2.4</t>
  </si>
  <si>
    <t>2.5</t>
  </si>
  <si>
    <t>2.6</t>
  </si>
  <si>
    <t>2.7</t>
  </si>
  <si>
    <t>2.8</t>
  </si>
  <si>
    <t>2.9</t>
  </si>
  <si>
    <t>2.10</t>
  </si>
  <si>
    <t>2.11</t>
  </si>
  <si>
    <t>2.12</t>
  </si>
  <si>
    <t>2.13</t>
  </si>
  <si>
    <t>2.14</t>
  </si>
  <si>
    <t>2.15</t>
  </si>
  <si>
    <t>2.16</t>
  </si>
  <si>
    <t>2.17</t>
  </si>
  <si>
    <t>2.18</t>
  </si>
  <si>
    <t>Otros datos</t>
  </si>
  <si>
    <t>si</t>
  </si>
  <si>
    <t>no</t>
  </si>
  <si>
    <t xml:space="preserve">Adjunta </t>
  </si>
  <si>
    <t>N</t>
  </si>
  <si>
    <t>Tel.</t>
  </si>
  <si>
    <t>R.U.T.</t>
  </si>
  <si>
    <t>Dpto.</t>
  </si>
  <si>
    <t>Otro</t>
  </si>
  <si>
    <t>Acumulador</t>
  </si>
  <si>
    <t>Sist. Aux.</t>
  </si>
  <si>
    <t>Válvula</t>
  </si>
  <si>
    <t>Colector</t>
  </si>
  <si>
    <t>Bomba</t>
  </si>
  <si>
    <t>Cuadro de chequeo de cumplimiento</t>
  </si>
  <si>
    <t>NA</t>
  </si>
  <si>
    <t>Existente</t>
  </si>
  <si>
    <t>Anteproyecto</t>
  </si>
  <si>
    <t>P. Básico</t>
  </si>
  <si>
    <t>P. Completo</t>
  </si>
  <si>
    <t>P. Detallado</t>
  </si>
  <si>
    <t>P. Ejecutado</t>
  </si>
  <si>
    <t>Aplicación:</t>
  </si>
  <si>
    <t>¿Estacionalidad?</t>
  </si>
  <si>
    <t>¿Varia ocupación?</t>
  </si>
  <si>
    <t>ETUS</t>
  </si>
  <si>
    <t>Procedencia:</t>
  </si>
  <si>
    <t>Informe ensayo</t>
  </si>
  <si>
    <t>Aplicación</t>
  </si>
  <si>
    <t>Precalentam. Solar</t>
  </si>
  <si>
    <t>Del informe de ensayo</t>
  </si>
  <si>
    <t>Depresión depósito elevado</t>
  </si>
  <si>
    <t>Presión diferencial intercamb.</t>
  </si>
  <si>
    <t>Depresión doble envolvente</t>
  </si>
  <si>
    <t>Describir otro y observaciones</t>
  </si>
  <si>
    <t>En Ficha Técnica</t>
  </si>
  <si>
    <t>Depósito móvil</t>
  </si>
  <si>
    <t>Plan mantenim.</t>
  </si>
  <si>
    <t>Este dato será aportado a través de la Web Solar</t>
  </si>
  <si>
    <t>¿todos iguales?</t>
  </si>
  <si>
    <t>Otra</t>
  </si>
  <si>
    <t>Puente man</t>
  </si>
  <si>
    <t>Tipo de acero inox.</t>
  </si>
  <si>
    <t>Acero inoxidable</t>
  </si>
  <si>
    <t>Alternativo</t>
  </si>
  <si>
    <r>
      <t>¿</t>
    </r>
    <r>
      <rPr>
        <sz val="8"/>
        <color theme="1"/>
        <rFont val="Calibri"/>
        <family val="2"/>
      </rPr>
      <t xml:space="preserve">≤ </t>
    </r>
    <r>
      <rPr>
        <sz val="8"/>
        <color theme="1"/>
        <rFont val="Arial Narrow"/>
        <family val="2"/>
      </rPr>
      <t>requisito 1 ó 2%?</t>
    </r>
  </si>
  <si>
    <t>No necesita</t>
  </si>
  <si>
    <t>Temperatura máxima de salida del Sistema Solar Térmico (ºC)</t>
  </si>
  <si>
    <t>Temp. máxima del Sistema Solar Térmico (SST) regulada por:</t>
  </si>
  <si>
    <t>Temp máxima soportada por Sistema de Energía Auxiliar SEA (ºC)</t>
  </si>
  <si>
    <t>Válvula Diversora</t>
  </si>
  <si>
    <t>Vaso expansión</t>
  </si>
  <si>
    <t>Temp máxima SST</t>
  </si>
  <si>
    <t>Válv  Termostática</t>
  </si>
  <si>
    <t>Distancia a SST</t>
  </si>
  <si>
    <t>SEA no soporta</t>
  </si>
  <si>
    <t>Distancia SST-consumo (metros):</t>
  </si>
  <si>
    <t>Sensor presión</t>
  </si>
  <si>
    <t>Sensor temper</t>
  </si>
  <si>
    <t>Célula calibrada</t>
  </si>
  <si>
    <t>No previstos</t>
  </si>
  <si>
    <t>Temp depósito</t>
  </si>
  <si>
    <t>Manual-Termóm.</t>
  </si>
  <si>
    <t>Termóm depósito</t>
  </si>
  <si>
    <t>Centralizada</t>
  </si>
  <si>
    <t>Acum+caldera</t>
  </si>
  <si>
    <t>Caldera mixta</t>
  </si>
  <si>
    <t>Elec. Bomba calor</t>
  </si>
  <si>
    <t>Gas Natural</t>
  </si>
  <si>
    <t>Gas LP</t>
  </si>
  <si>
    <t>Elec. efecto Joule</t>
  </si>
  <si>
    <t>Temp máx depósito</t>
  </si>
  <si>
    <t>Diferencial primario</t>
  </si>
  <si>
    <t>Diferencial secund</t>
  </si>
  <si>
    <t>Man conexión</t>
  </si>
  <si>
    <t>Man desconexión</t>
  </si>
  <si>
    <t>Actúa:</t>
  </si>
  <si>
    <t>Hospitales y clínicas</t>
  </si>
  <si>
    <t>Hotel *****</t>
  </si>
  <si>
    <t>Hotel ****</t>
  </si>
  <si>
    <t>Hotel ***/Apartahotel</t>
  </si>
  <si>
    <t>Camping/campamentos</t>
  </si>
  <si>
    <t>Centro penitenciario</t>
  </si>
  <si>
    <t>Albergue</t>
  </si>
  <si>
    <t>Escuela sin duchas</t>
  </si>
  <si>
    <t>Escuela con duchas</t>
  </si>
  <si>
    <t>Cuarteles</t>
  </si>
  <si>
    <t>Fábricas y talleres</t>
  </si>
  <si>
    <t>Oficinas</t>
  </si>
  <si>
    <t>Gimnasios</t>
  </si>
  <si>
    <t>Restaurantes</t>
  </si>
  <si>
    <t>Cafeterías</t>
  </si>
  <si>
    <t>Ambulat. / Centro salud</t>
  </si>
  <si>
    <t xml:space="preserve">Hotel/Hostal **/Aphtl </t>
  </si>
  <si>
    <t>Hostal/Pensión*/Aphtl</t>
  </si>
  <si>
    <t>Residencias</t>
  </si>
  <si>
    <t>Vestuarios/Duchas col.</t>
  </si>
  <si>
    <t>Fuente de datos    Departamento:</t>
  </si>
  <si>
    <t>E1</t>
  </si>
  <si>
    <t>E2</t>
  </si>
  <si>
    <t>E3</t>
  </si>
  <si>
    <t>suma</t>
  </si>
  <si>
    <t>Posibilidad de desconexión del SEA</t>
  </si>
  <si>
    <t>Gas</t>
  </si>
  <si>
    <t>DA2</t>
  </si>
  <si>
    <t>DA3</t>
  </si>
  <si>
    <t>Adjunta</t>
  </si>
  <si>
    <t>Cumplimiento de todos los requisitos</t>
  </si>
  <si>
    <t>DA1</t>
  </si>
  <si>
    <t>Nueva/o</t>
  </si>
  <si>
    <t>Temperatura máxima de salida del SST (ºC)</t>
  </si>
  <si>
    <t>Temp. máxima del SST regulada por:</t>
  </si>
  <si>
    <t>Temp máxima soportada por SEA (ºC)</t>
  </si>
  <si>
    <t>Posibilidad desconexión SEA</t>
  </si>
  <si>
    <t>rd</t>
  </si>
  <si>
    <t>ii</t>
  </si>
  <si>
    <t>LISTA DE CHEQUEO</t>
  </si>
  <si>
    <t>Requisito o concepto a supervisar</t>
  </si>
  <si>
    <t>MT</t>
  </si>
  <si>
    <t>Respuesta</t>
  </si>
  <si>
    <t>SI</t>
  </si>
  <si>
    <t>NO</t>
  </si>
  <si>
    <t>Observaciones</t>
  </si>
  <si>
    <t>Requisito a cumplir/controlar</t>
  </si>
  <si>
    <t>CAP 2</t>
  </si>
  <si>
    <t>COMPONENTES</t>
  </si>
  <si>
    <t>02.1 p1</t>
  </si>
  <si>
    <t>Componentes especificados con FT</t>
  </si>
  <si>
    <t>L17-2 a 19</t>
  </si>
  <si>
    <t>Definir FT que se deben incorporar a PC y PD</t>
  </si>
  <si>
    <t>Verificar están disponibles las FT (Fichas Técnicas) de todos los componentes seleccionados</t>
  </si>
  <si>
    <t>02.1 p5</t>
  </si>
  <si>
    <t>Componentes resisten temperaturas máx primario</t>
  </si>
  <si>
    <t>FT de cada componente</t>
  </si>
  <si>
    <t xml:space="preserve">Las temperatura y presiones máximas de funcionamiento de todos los circuitos (primario y secundario) se establecen con los valores extraidos de L6-1 a 6-12;  las temperatura y presiones máximas que soportan cada uno de los componetes serán extraidos de las FT de cada uno de ellos; comparando los valores anteriores se  verificar que todos los componentes las soportan. De las FT de cada componente se debe extraer la información para decidir si soportan las condiciones exteriores, si compatibles con el fluido de trabajo y si son compatibles con el ACS. Naturalmente estos criterios únicamente se aplican a los componentes que deben soportarlo.
</t>
  </si>
  <si>
    <t>Componentes resisten temperaturas máx secundario</t>
  </si>
  <si>
    <t>Componentes resisten presiones máx primario</t>
  </si>
  <si>
    <t>Componentes resisten presiones máx secundario</t>
  </si>
  <si>
    <t>02.1 p6</t>
  </si>
  <si>
    <t>Componentes resisten al exterior</t>
  </si>
  <si>
    <t>02.1 p7</t>
  </si>
  <si>
    <t>Materiales compatibles con fluido del primario</t>
  </si>
  <si>
    <t>Materiales compatibles con agua de consumo</t>
  </si>
  <si>
    <t>Cumplimiento de condiciones anteriores</t>
  </si>
  <si>
    <t>L17-20</t>
  </si>
  <si>
    <t>Verificación y cumplimiento en los 7 apartados</t>
  </si>
  <si>
    <t>Deberán estar marcados todos los apartados</t>
  </si>
  <si>
    <t>02.2 p1</t>
  </si>
  <si>
    <t>Colector solar autorizado y registrado</t>
  </si>
  <si>
    <t>L8-1</t>
  </si>
  <si>
    <t>Número autorización y registro del colector</t>
  </si>
  <si>
    <t>Verificar colector autorizado y registrado</t>
  </si>
  <si>
    <t>Comprobación de datos del colector</t>
  </si>
  <si>
    <t>L8-1 a 33</t>
  </si>
  <si>
    <t>Datos del colector utilizados en la MT</t>
  </si>
  <si>
    <t>Comprobar que los datos de la MT son los del colector de referencia</t>
  </si>
  <si>
    <t>02.3 p1</t>
  </si>
  <si>
    <t>Acumuladores  autorizados y registrados</t>
  </si>
  <si>
    <t>L9-1</t>
  </si>
  <si>
    <t>Número autorización y registro del acumulador</t>
  </si>
  <si>
    <t>Verificar acumulador autorizado y registrado</t>
  </si>
  <si>
    <t>Comprobación de datos del acumulador</t>
  </si>
  <si>
    <t>L9-2 a 22</t>
  </si>
  <si>
    <t>Datos del acumulador utilizados en la MT</t>
  </si>
  <si>
    <t>Comprobar que los datos de la MT son los del acumulador de referencia</t>
  </si>
  <si>
    <t>02.4.1 p1</t>
  </si>
  <si>
    <t>Intercambiador. Datos incluidos en doc técnica</t>
  </si>
  <si>
    <t>Datos en FT Intercambiador</t>
  </si>
  <si>
    <t>Comprobación que está seleccionado y sus caracteríticas en FT</t>
  </si>
  <si>
    <t>02.4.1 p2</t>
  </si>
  <si>
    <t>Material int. en contacto con el ACS</t>
  </si>
  <si>
    <t>L10-25</t>
  </si>
  <si>
    <t>Comprobación del material en contacto con ACS</t>
  </si>
  <si>
    <t>02.5 p1</t>
  </si>
  <si>
    <t>Bomba de circulación primario</t>
  </si>
  <si>
    <t>Datos en FT Bombas</t>
  </si>
  <si>
    <t>Primario: Comprobación que está seleccionada y sus caracteríticas en FT</t>
  </si>
  <si>
    <t>Bomba de circulación secundario</t>
  </si>
  <si>
    <t>Secundario: Comprobación que está seleccionada y sus caracteríticas en FT</t>
  </si>
  <si>
    <t>02.6 p1</t>
  </si>
  <si>
    <t>Tuberías</t>
  </si>
  <si>
    <t>Datos en FT Tuberías</t>
  </si>
  <si>
    <t>Primario: Comprobación que están seleccionadas y sus caracteríticas en FT</t>
  </si>
  <si>
    <t>Secundario: Comprobación que están seleccionadas y sus caracteríticas en FT</t>
  </si>
  <si>
    <t>02.7 p1</t>
  </si>
  <si>
    <t>Vasos de expansión</t>
  </si>
  <si>
    <t xml:space="preserve">Datos en FT Vasos de Expansión </t>
  </si>
  <si>
    <t>Primario: Comprobación que está seleccionado y sus caracteríticas en FT</t>
  </si>
  <si>
    <t>Secundario: Comprobación que está seleccionado y sus caracteríticas en FT</t>
  </si>
  <si>
    <t>02.8 p1</t>
  </si>
  <si>
    <t>Válvulas y accesorios</t>
  </si>
  <si>
    <t>Datos en FT Valvulería</t>
  </si>
  <si>
    <t>Comprobación que están seleccionadas y sus caracteríticas en FT</t>
  </si>
  <si>
    <t>02.9 p1</t>
  </si>
  <si>
    <t>Sistema prefabricado autorizado y registrado</t>
  </si>
  <si>
    <t>L17-1</t>
  </si>
  <si>
    <t>Datos en FT S. Prefabricado</t>
  </si>
  <si>
    <t>Verificar prefabricado autorizado y registrado</t>
  </si>
  <si>
    <t>Verificar datos del S. Prefabricado</t>
  </si>
  <si>
    <t>Comprobar que datos de la MT son los del sistema prefabricado de referencia</t>
  </si>
  <si>
    <t>CAP 3</t>
  </si>
  <si>
    <t>CONFIGURACIONES</t>
  </si>
  <si>
    <t xml:space="preserve">03 p2 </t>
  </si>
  <si>
    <t>L5-1</t>
  </si>
  <si>
    <t>03.2 p1</t>
  </si>
  <si>
    <t>L5-2</t>
  </si>
  <si>
    <t>Prefabricados -</t>
  </si>
  <si>
    <t>03.2 p2</t>
  </si>
  <si>
    <t>L5-3</t>
  </si>
  <si>
    <t>03.2 p3</t>
  </si>
  <si>
    <t>L5-4</t>
  </si>
  <si>
    <t>03.2 p4</t>
  </si>
  <si>
    <t>L5-5</t>
  </si>
  <si>
    <t>03.2 p5</t>
  </si>
  <si>
    <t>L5-6</t>
  </si>
  <si>
    <t>03.2 p6</t>
  </si>
  <si>
    <t>L5-7</t>
  </si>
  <si>
    <t>L12-6</t>
  </si>
  <si>
    <t>03.3 p1</t>
  </si>
  <si>
    <t>Sist a medida - Siempre tiene que ser cerrado</t>
  </si>
  <si>
    <t>Sist a medida - Si es sistema a medida, tiene que ser lleno</t>
  </si>
  <si>
    <t>Sist a medida - Tiene que ser precalentamiento solar, ¿se admite sólo solar?</t>
  </si>
  <si>
    <t>03.3 p2</t>
  </si>
  <si>
    <t>Sist a medida - Debe ser siempre en serie,  para pequeñas instalaciones se admite en paralelo justificándola en L12-9</t>
  </si>
  <si>
    <t>03.3.1 p1</t>
  </si>
  <si>
    <t>L9-20</t>
  </si>
  <si>
    <t>Requisito repetido en 03.3.p1</t>
  </si>
  <si>
    <t>CAP 4</t>
  </si>
  <si>
    <t>04 p1</t>
  </si>
  <si>
    <t>Contenidos de operación en MT</t>
  </si>
  <si>
    <t>04.1.2 p1</t>
  </si>
  <si>
    <t>Deducción de temperaturas máximas</t>
  </si>
  <si>
    <t>04.1.2 p2</t>
  </si>
  <si>
    <t>L6-1</t>
  </si>
  <si>
    <t>L6-2</t>
  </si>
  <si>
    <t>04.1.2 p3</t>
  </si>
  <si>
    <t>Temp de preparación del sistema de apoyo (ºC)</t>
  </si>
  <si>
    <t>L6-3</t>
  </si>
  <si>
    <t>04.1.2 p4</t>
  </si>
  <si>
    <t>L6-4</t>
  </si>
  <si>
    <t>Definidas para todos los circuitos y correctas</t>
  </si>
  <si>
    <t>04.1.2 p5</t>
  </si>
  <si>
    <t>04.1.2 p6</t>
  </si>
  <si>
    <t>Comprobar que, si no están justificadas,  no son inferiores a los valores por defecto</t>
  </si>
  <si>
    <t>04.1.3 p1</t>
  </si>
  <si>
    <t>L6-5</t>
  </si>
  <si>
    <t>04.1.3 p2</t>
  </si>
  <si>
    <t>04.1.3 p3</t>
  </si>
  <si>
    <t>04.2.1 p2</t>
  </si>
  <si>
    <t xml:space="preserve">Datos de las FT - </t>
  </si>
  <si>
    <t>L6-7</t>
  </si>
  <si>
    <t>04.2.1 p3</t>
  </si>
  <si>
    <t>L6-8</t>
  </si>
  <si>
    <t>04.2.1 p4</t>
  </si>
  <si>
    <t>L6-9</t>
  </si>
  <si>
    <t>04.2.1 p5</t>
  </si>
  <si>
    <t>L6-6</t>
  </si>
  <si>
    <t>04.2.2 p1</t>
  </si>
  <si>
    <t>L6-10</t>
  </si>
  <si>
    <t>04.2.2 p2</t>
  </si>
  <si>
    <t>Se utiliza para calcular expansión pri y sec</t>
  </si>
  <si>
    <t>L13-1 y 2</t>
  </si>
  <si>
    <t>Verificar que son utilizados en L13-1 y 2. Ver presión máx y mín - posición sup o inf</t>
  </si>
  <si>
    <t>04.2.2 p3</t>
  </si>
  <si>
    <t>Presión máxima (bar) red de alimentación</t>
  </si>
  <si>
    <t>Valor máximo que debería extraerse de OSE, grupo de presión, etc.</t>
  </si>
  <si>
    <t>04.2.3 p1</t>
  </si>
  <si>
    <t>L6-11</t>
  </si>
  <si>
    <t>04.2.3 p2</t>
  </si>
  <si>
    <t>04.2.3 p3</t>
  </si>
  <si>
    <t>¿Pruebas sin presión en circuito de consumo?</t>
  </si>
  <si>
    <t>FT acumulador e interacumulador</t>
  </si>
  <si>
    <t>Verificar pruebas de presión del primario de interacumuladores e intercambiadores</t>
  </si>
  <si>
    <t>04.2.3 p4</t>
  </si>
  <si>
    <t>¿Previsiones de presiones negativas?</t>
  </si>
  <si>
    <t>Comprobar riesgos y medidas de protección para implosión de acumuladores</t>
  </si>
  <si>
    <t>04.3 p2</t>
  </si>
  <si>
    <t>L6-12</t>
  </si>
  <si>
    <t>04.4 p1</t>
  </si>
  <si>
    <t>Fluido de trabajo en el circuito primario</t>
  </si>
  <si>
    <t>L7-2</t>
  </si>
  <si>
    <t>04.4.1 p1</t>
  </si>
  <si>
    <t>Caracteríticas del agua</t>
  </si>
  <si>
    <t>L7-3</t>
  </si>
  <si>
    <t>No será obligatoria la disponibilidad de datos de agua</t>
  </si>
  <si>
    <t>04.4.2 p1</t>
  </si>
  <si>
    <t>L7-4</t>
  </si>
  <si>
    <t>Existe Ficha Técnica</t>
  </si>
  <si>
    <t>04.4.2 p2</t>
  </si>
  <si>
    <t>Confirmar no es etilenglicol</t>
  </si>
  <si>
    <t>04.4.2 p3</t>
  </si>
  <si>
    <t>L7-8</t>
  </si>
  <si>
    <t xml:space="preserve">04.4.2 p7 </t>
  </si>
  <si>
    <t>Rango de temperaturas y presiones</t>
  </si>
  <si>
    <t>Rangos de temperaturas y presiones</t>
  </si>
  <si>
    <t>Periodicidad de sustitución</t>
  </si>
  <si>
    <t>Periodicidad para su renovación</t>
  </si>
  <si>
    <t>04.4.2 p9</t>
  </si>
  <si>
    <t>No reposición directa de agua a la mezcla</t>
  </si>
  <si>
    <t>L7-6</t>
  </si>
  <si>
    <t>Necesidad de preparación previa de la mezcla - Sin llenado de agua directo (ver 06.4.4)</t>
  </si>
  <si>
    <t>04.5 p4</t>
  </si>
  <si>
    <t>L6-13</t>
  </si>
  <si>
    <t>04.5 p5</t>
  </si>
  <si>
    <t>04.5 p6</t>
  </si>
  <si>
    <t>En entrada de agua fría al aumulador</t>
  </si>
  <si>
    <t>04.6.1 p2</t>
  </si>
  <si>
    <t>L6-15</t>
  </si>
  <si>
    <t>La temperatura de uso inferior a 60ºC</t>
  </si>
  <si>
    <t>Evita contactos con superficies calientes de colectores</t>
  </si>
  <si>
    <t>04.6.1 p5</t>
  </si>
  <si>
    <t>L6-17</t>
  </si>
  <si>
    <t>04.6.2 p4</t>
  </si>
  <si>
    <t>Protección contraheladas</t>
  </si>
  <si>
    <t>L7-1</t>
  </si>
  <si>
    <t>04.6.3 p4</t>
  </si>
  <si>
    <t>L6-19</t>
  </si>
  <si>
    <t>04.6.3 p5</t>
  </si>
  <si>
    <t>SISTEMA EXPANSIÓN PRIMARIO</t>
  </si>
  <si>
    <t>04.6.3 A p1</t>
  </si>
  <si>
    <t>Vol unitario nominal vaso seleccionado (litros)</t>
  </si>
  <si>
    <t>L13-14</t>
  </si>
  <si>
    <t>L13-16</t>
  </si>
  <si>
    <t>04.6.3 A p5</t>
  </si>
  <si>
    <t>Ramal de conexión al circuito</t>
  </si>
  <si>
    <t>04.6.3 A p6</t>
  </si>
  <si>
    <t>Expansión junto a válvula seg y manómetro</t>
  </si>
  <si>
    <t>04.6.3 B p4</t>
  </si>
  <si>
    <t>Presión de trabajo máxima sist expansión (bar)</t>
  </si>
  <si>
    <t>L13-1</t>
  </si>
  <si>
    <t>Valores de presión máxima de los circuitos</t>
  </si>
  <si>
    <t>Presión de trabajo mínima sist expansión (bar)</t>
  </si>
  <si>
    <t>L13-2</t>
  </si>
  <si>
    <t>Valores de presión mínima de los circuitos</t>
  </si>
  <si>
    <t>L13-3</t>
  </si>
  <si>
    <t>04.6.3 C p1</t>
  </si>
  <si>
    <t>L13-11</t>
  </si>
  <si>
    <t>L13-9</t>
  </si>
  <si>
    <t>04.6.3 C p2</t>
  </si>
  <si>
    <t>L13-10</t>
  </si>
  <si>
    <t>Comprobar correcto cálculo de coeficiente de presiones</t>
  </si>
  <si>
    <t>04.6.3 C p3</t>
  </si>
  <si>
    <t>Comprobar que el coeficiente de presiones es inferior a 2</t>
  </si>
  <si>
    <t>04.6.3 C p4</t>
  </si>
  <si>
    <t>L13-4</t>
  </si>
  <si>
    <t>Comprobar que el voluemn de reserva es el 3% y no inferior a 2 litros</t>
  </si>
  <si>
    <t>04.6.3 C p5</t>
  </si>
  <si>
    <t>L13-7</t>
  </si>
  <si>
    <t>04.6.3 C p6</t>
  </si>
  <si>
    <t>L13-5</t>
  </si>
  <si>
    <t>04.6.3 C p7</t>
  </si>
  <si>
    <t>L13-6</t>
  </si>
  <si>
    <t>04.6.3 C p8</t>
  </si>
  <si>
    <t>L13-8</t>
  </si>
  <si>
    <t>04.6.3 C p9</t>
  </si>
  <si>
    <t>Presión de precarga del gas sist expansión (bar)</t>
  </si>
  <si>
    <t>L13-17</t>
  </si>
  <si>
    <t>SISTEMA EXPANSIÓN SECUNDARIO</t>
  </si>
  <si>
    <t>04.6.4 p1</t>
  </si>
  <si>
    <t>Protec presiones - Depre altura acumulador</t>
  </si>
  <si>
    <t>L6-21</t>
  </si>
  <si>
    <t>04.6.4 p2</t>
  </si>
  <si>
    <t>Protec presiones - Depre doble envolvente</t>
  </si>
  <si>
    <t>04.6.4 p3</t>
  </si>
  <si>
    <t>Protec presiones - Pres dif intercambio</t>
  </si>
  <si>
    <t>Presión diferencial en intercambiadores</t>
  </si>
  <si>
    <t>04.7</t>
  </si>
  <si>
    <t>Sistemas de expansión abiertos</t>
  </si>
  <si>
    <t>L6-1 a L6-21</t>
  </si>
  <si>
    <t>Proyecto con Autorización Especial</t>
  </si>
  <si>
    <t>CAP 5</t>
  </si>
  <si>
    <t>INCORPORACIÓN DE LOS SST EN LAS EDIFICACIONES</t>
  </si>
  <si>
    <t>Condiciones de edificación nueva o existente (Segunda parte de MT8)</t>
  </si>
  <si>
    <t>05.2.1 p1</t>
  </si>
  <si>
    <t>Planos con situación edificio e instalación</t>
  </si>
  <si>
    <t>05.2.2 p1</t>
  </si>
  <si>
    <t>L8-26</t>
  </si>
  <si>
    <t>Inclinación (¿la misma?) y limites fabricante</t>
  </si>
  <si>
    <t>L8-27</t>
  </si>
  <si>
    <t>Comprobar dato en proyecto y que está dentro de los márgenes del fabricante</t>
  </si>
  <si>
    <t>05.2.2 p3</t>
  </si>
  <si>
    <t>Orientación dentro de márgenes previstos</t>
  </si>
  <si>
    <t>05.2.2 p5</t>
  </si>
  <si>
    <t>Inclinación dentro de márgenes previstos</t>
  </si>
  <si>
    <t>05.2.2 p6</t>
  </si>
  <si>
    <t>Inclinación en rango permitido por fabricante</t>
  </si>
  <si>
    <t>Verificar los límites de inclinación establecidos por el fabricante en el Manual de Instrucciones</t>
  </si>
  <si>
    <t>05.2.3</t>
  </si>
  <si>
    <t>L8-28</t>
  </si>
  <si>
    <t>05.2.3 p1</t>
  </si>
  <si>
    <t>Edificios y obstáculos cercanos y lejanos</t>
  </si>
  <si>
    <t>05.2.3 p2</t>
  </si>
  <si>
    <t>Documentación gráfica de obstáculos al Norte</t>
  </si>
  <si>
    <t>05.2.3 p3</t>
  </si>
  <si>
    <t>Condiciones urbanísticas de parcelas al Norte</t>
  </si>
  <si>
    <t>05.2.3 p4</t>
  </si>
  <si>
    <t>Identificación de arboles al Norte</t>
  </si>
  <si>
    <t>05.2.3 p5</t>
  </si>
  <si>
    <t>Método evaluación de pérdidas por sombras</t>
  </si>
  <si>
    <t>05.2.3 p6</t>
  </si>
  <si>
    <t>Req geom: Obstáculos frontales d &gt; 1,7 * h</t>
  </si>
  <si>
    <t>Req geom: Obstáculos laterales d &gt; 1,7 * h 45º</t>
  </si>
  <si>
    <t>Req geom: Obstáculos laterales d &gt; h para 90º</t>
  </si>
  <si>
    <t>Req geom: Obst laterales ángulos intermedios</t>
  </si>
  <si>
    <t>05.2.3 p7</t>
  </si>
  <si>
    <t>Sombras mediodía solar solsticio de invierno</t>
  </si>
  <si>
    <t>05.2.3 p8</t>
  </si>
  <si>
    <t>Verificar prestaciones y conformidad usuario</t>
  </si>
  <si>
    <t>Si no se cumplen los requistos geométricos ni las sombras proyectadas en solsticio de invierno</t>
  </si>
  <si>
    <t>05.2.3 p10</t>
  </si>
  <si>
    <t>L8-30</t>
  </si>
  <si>
    <t>05.2.4 p1</t>
  </si>
  <si>
    <t>L8-31</t>
  </si>
  <si>
    <t>05.2.4 p2</t>
  </si>
  <si>
    <t>Cumplimiento posibles acciones establecidas</t>
  </si>
  <si>
    <t>Cumplimiento normativa resistencia al viento</t>
  </si>
  <si>
    <t>05.2.4 p3</t>
  </si>
  <si>
    <t>Estructura necesaria para otros elementos</t>
  </si>
  <si>
    <t>05.2.4 p4</t>
  </si>
  <si>
    <t>Sujeción colectores según manual fabricante</t>
  </si>
  <si>
    <t>05.2.4 p6</t>
  </si>
  <si>
    <t>L8-33</t>
  </si>
  <si>
    <t>Cumplimiento de ETUS 02.2.3</t>
  </si>
  <si>
    <t>L1-13</t>
  </si>
  <si>
    <t>Condiciones del instalación nueva o existente (apartado MT12)</t>
  </si>
  <si>
    <t>05.3.1 p3</t>
  </si>
  <si>
    <t>L12-1</t>
  </si>
  <si>
    <t>Comprobar existe un valor definido</t>
  </si>
  <si>
    <t>L12-2</t>
  </si>
  <si>
    <t>Verificar se regula en esquemas, en control o en ensayo</t>
  </si>
  <si>
    <t>L12-3</t>
  </si>
  <si>
    <t>Concuerda con dato anterior</t>
  </si>
  <si>
    <t>05.3.1 p5</t>
  </si>
  <si>
    <t>L12-4</t>
  </si>
  <si>
    <t>Verificar dato en FT sistema auxiliar</t>
  </si>
  <si>
    <t>Temp máx que soporta circuito hasta SEA (ºC)</t>
  </si>
  <si>
    <t>L12-5</t>
  </si>
  <si>
    <t>Verificar dato en FT tubería o accesorio previos a SEA</t>
  </si>
  <si>
    <t>05.3.1 p6</t>
  </si>
  <si>
    <t>¿?</t>
  </si>
  <si>
    <t>L12-7</t>
  </si>
  <si>
    <t>Comprobar si es necesaria comparando L12-1 cpn L12-4 y L12-5</t>
  </si>
  <si>
    <t>05.3.1 p8</t>
  </si>
  <si>
    <t>L12-8</t>
  </si>
  <si>
    <t xml:space="preserve">Verificar la justificación en FT o plano </t>
  </si>
  <si>
    <t>05.3.1 p10</t>
  </si>
  <si>
    <t>L12-9</t>
  </si>
  <si>
    <t xml:space="preserve">Verificar la opción en esquemas </t>
  </si>
  <si>
    <t>L1-14</t>
  </si>
  <si>
    <t>Condiciones del sistema nuevo o existente (apartado MT15)</t>
  </si>
  <si>
    <t>05.3.2 p2</t>
  </si>
  <si>
    <t>L15-1</t>
  </si>
  <si>
    <t>L15-2</t>
  </si>
  <si>
    <t>L15-3</t>
  </si>
  <si>
    <t>L15-4</t>
  </si>
  <si>
    <t>L15-5</t>
  </si>
  <si>
    <t>L15-6</t>
  </si>
  <si>
    <t>L15-9</t>
  </si>
  <si>
    <t>L15-10</t>
  </si>
  <si>
    <t>Número y volumen de acumul auxiliar (litros)</t>
  </si>
  <si>
    <t>L15-11</t>
  </si>
  <si>
    <t>05.3.2 p3</t>
  </si>
  <si>
    <t>Condiciones funcionamiento SEA si es existente</t>
  </si>
  <si>
    <t>L15-12</t>
  </si>
  <si>
    <t>05.3.2 p7</t>
  </si>
  <si>
    <t>L15-13</t>
  </si>
  <si>
    <t>L15-14</t>
  </si>
  <si>
    <t>05.3.2 p8</t>
  </si>
  <si>
    <t>L12-10</t>
  </si>
  <si>
    <t>05.3.3 p3</t>
  </si>
  <si>
    <t>Ver esquema SST-SEA- Consumo</t>
  </si>
  <si>
    <t>05.3.3 p4</t>
  </si>
  <si>
    <t>L12-11</t>
  </si>
  <si>
    <t>L12-12</t>
  </si>
  <si>
    <t>05.3.3 p5</t>
  </si>
  <si>
    <t>Efectos diferentes pérdidas carga en consumo</t>
  </si>
  <si>
    <t>L12-13</t>
  </si>
  <si>
    <t>05.3.3 p8</t>
  </si>
  <si>
    <t>05.3.3 p9</t>
  </si>
  <si>
    <t>L12-15</t>
  </si>
  <si>
    <t>L12-16</t>
  </si>
  <si>
    <t>L12-17</t>
  </si>
  <si>
    <t>05.3.3 p11</t>
  </si>
  <si>
    <t>L12-18</t>
  </si>
  <si>
    <t>Ubicación del SST, SEA y trazado tubería hasta consumo</t>
  </si>
  <si>
    <t>05.3.4 p7</t>
  </si>
  <si>
    <t>Medida de temperatura del acumulador</t>
  </si>
  <si>
    <t>L14-9</t>
  </si>
  <si>
    <t>05.3.4 p9</t>
  </si>
  <si>
    <t>Manómetro para medida de presión en frío</t>
  </si>
  <si>
    <t>05.3.5 p2</t>
  </si>
  <si>
    <t>Cumplimiento otra normativa</t>
  </si>
  <si>
    <t>05.3.5 p3</t>
  </si>
  <si>
    <t>Elección del punto de conexión</t>
  </si>
  <si>
    <t>Compatibilildad de materiales</t>
  </si>
  <si>
    <t>05.3.5 p4</t>
  </si>
  <si>
    <t>Pérdidas de carga por la nueva instalación</t>
  </si>
  <si>
    <t>05.3.5 p5</t>
  </si>
  <si>
    <t>Previsión escapes conducidos visibles</t>
  </si>
  <si>
    <t>05.3.5 p6</t>
  </si>
  <si>
    <t>05.5.1 p2</t>
  </si>
  <si>
    <t>Sistemas de apoyo centralizados siempre en serie</t>
  </si>
  <si>
    <t>05.5.1 p3</t>
  </si>
  <si>
    <t>Cumplir requisitos de 05.3</t>
  </si>
  <si>
    <t>05.5.2 p1</t>
  </si>
  <si>
    <t>05.5.3 p3</t>
  </si>
  <si>
    <t>Circuito de recirculación</t>
  </si>
  <si>
    <t>05.6</t>
  </si>
  <si>
    <t>Preinstalaciones</t>
  </si>
  <si>
    <t>CAP 6</t>
  </si>
  <si>
    <t>DISEÑO</t>
  </si>
  <si>
    <t>06 p1</t>
  </si>
  <si>
    <t>06 p2</t>
  </si>
  <si>
    <t>06.1 p1</t>
  </si>
  <si>
    <t>Comprobar que toda la información está incluida y es válida</t>
  </si>
  <si>
    <t>L8-2</t>
  </si>
  <si>
    <t>L8-3</t>
  </si>
  <si>
    <t>Comprobar que los datos son los del colector autorizado</t>
  </si>
  <si>
    <t>Número de colectores (uds.) ¿Todos Iguales?</t>
  </si>
  <si>
    <t>L8-12</t>
  </si>
  <si>
    <t>06.1 p2</t>
  </si>
  <si>
    <t>L8-13</t>
  </si>
  <si>
    <t>L8-14</t>
  </si>
  <si>
    <t>06.1 p3</t>
  </si>
  <si>
    <t>Emplazamiento del edificio</t>
  </si>
  <si>
    <t>Orientación del edificio</t>
  </si>
  <si>
    <t>Obstáculos</t>
  </si>
  <si>
    <t>Sombras</t>
  </si>
  <si>
    <t>Ubicación de colectores</t>
  </si>
  <si>
    <t>Orientación de colectores</t>
  </si>
  <si>
    <t>Distancias a obstáculos y entre filas</t>
  </si>
  <si>
    <t>Trazado de circuitos</t>
  </si>
  <si>
    <t>Dimensionado y situación de componentes</t>
  </si>
  <si>
    <t>Diseño de la estructura base e intermedia</t>
  </si>
  <si>
    <t>Sujeción de colectores y detalles</t>
  </si>
  <si>
    <t>06.1.1.A p7</t>
  </si>
  <si>
    <t>L8-19</t>
  </si>
  <si>
    <t>L8-20</t>
  </si>
  <si>
    <t>L8-21</t>
  </si>
  <si>
    <t>06.1.1.A p8</t>
  </si>
  <si>
    <t>Todas las baterías y grupos de colectores iguales</t>
  </si>
  <si>
    <t>L8-22</t>
  </si>
  <si>
    <t>06.1.1.B p3</t>
  </si>
  <si>
    <t>Solución adoptada para equilibrado</t>
  </si>
  <si>
    <t>L8-23</t>
  </si>
  <si>
    <t>06.1.1.B p4</t>
  </si>
  <si>
    <t>L8-24</t>
  </si>
  <si>
    <t>06.1.1.C p2</t>
  </si>
  <si>
    <t>L8-25</t>
  </si>
  <si>
    <t>06.1.2.C p1</t>
  </si>
  <si>
    <t>L8-16</t>
  </si>
  <si>
    <t>L8-18</t>
  </si>
  <si>
    <t>06.1.2.C p2</t>
  </si>
  <si>
    <t>Caudal específico colector (l/h.m2) ¿En rango?</t>
  </si>
  <si>
    <t>L8-17</t>
  </si>
  <si>
    <t>06.1.2.C p4</t>
  </si>
  <si>
    <t>L8-15</t>
  </si>
  <si>
    <t>Caudal de instalación total y por tramos</t>
  </si>
  <si>
    <t>06.2. p1</t>
  </si>
  <si>
    <t>L9-2</t>
  </si>
  <si>
    <t>L9-3</t>
  </si>
  <si>
    <t>L9-7</t>
  </si>
  <si>
    <t>L9-8</t>
  </si>
  <si>
    <t>L9-9</t>
  </si>
  <si>
    <t>06.2. p2</t>
  </si>
  <si>
    <t>L9-13</t>
  </si>
  <si>
    <t>06.2. p3</t>
  </si>
  <si>
    <t>L9-14</t>
  </si>
  <si>
    <t>06.2.1. p2</t>
  </si>
  <si>
    <t>Relación Volumen/Area colectores (litros(m2)</t>
  </si>
  <si>
    <t>L9-10</t>
  </si>
  <si>
    <t>06.2.2. p4</t>
  </si>
  <si>
    <t>L9-11</t>
  </si>
  <si>
    <t>Solución equlibrado para conexión en paralelo</t>
  </si>
  <si>
    <t>L9-12</t>
  </si>
  <si>
    <t>06.2.2. p5</t>
  </si>
  <si>
    <t>Válvulas de desconexión acumuladores</t>
  </si>
  <si>
    <t>06.3. p1</t>
  </si>
  <si>
    <t>L10-1</t>
  </si>
  <si>
    <t>L10-2</t>
  </si>
  <si>
    <t>Caracteríticas intercambiador. ¿Es adecuado?</t>
  </si>
  <si>
    <t>L10-4</t>
  </si>
  <si>
    <t>06.3.1. A p1</t>
  </si>
  <si>
    <t>Accesorios para instalación con A &gt; 100 m2</t>
  </si>
  <si>
    <t>L10-26</t>
  </si>
  <si>
    <t>06.3.1. B p1</t>
  </si>
  <si>
    <t>L10-5</t>
  </si>
  <si>
    <t>06.3.1. B p2</t>
  </si>
  <si>
    <t>L11-9</t>
  </si>
  <si>
    <t>L11-10</t>
  </si>
  <si>
    <t>06.3.1. B p4</t>
  </si>
  <si>
    <t>L10-24</t>
  </si>
  <si>
    <t>06.3.1. B p5</t>
  </si>
  <si>
    <t>L10-6</t>
  </si>
  <si>
    <t>06.3.1. B p6</t>
  </si>
  <si>
    <t>L10-12</t>
  </si>
  <si>
    <t>L10-21</t>
  </si>
  <si>
    <t>06.3.1. B p7</t>
  </si>
  <si>
    <t>L10-15</t>
  </si>
  <si>
    <t>L10-23</t>
  </si>
  <si>
    <t>06.3.2. p2</t>
  </si>
  <si>
    <t>L9-21</t>
  </si>
  <si>
    <t>06.3.2. p3</t>
  </si>
  <si>
    <t>(IA) Área específica (m2/m2) interc interno</t>
  </si>
  <si>
    <t>L9-22</t>
  </si>
  <si>
    <t>06.4. p1</t>
  </si>
  <si>
    <t>06.4. p2</t>
  </si>
  <si>
    <t>Ubicación de local técnico</t>
  </si>
  <si>
    <t>Distribución componentes (acus, int, bom, vex)</t>
  </si>
  <si>
    <t>Trazado y accesorios de circuitos</t>
  </si>
  <si>
    <t>Especificaciones de material</t>
  </si>
  <si>
    <t>06.4. p3</t>
  </si>
  <si>
    <t>Diámetros y caudales de tramos</t>
  </si>
  <si>
    <t>06.4. p6</t>
  </si>
  <si>
    <t>En obra</t>
  </si>
  <si>
    <t>06.4. p8</t>
  </si>
  <si>
    <t>Primario - Cantidad de circuitos en paralelo</t>
  </si>
  <si>
    <t>PRI-L11-4</t>
  </si>
  <si>
    <t>Primario - Criterio de equilibrado</t>
  </si>
  <si>
    <t>PRI-L11-5</t>
  </si>
  <si>
    <t>06.4.1. B p1</t>
  </si>
  <si>
    <t>Pri - Velocidad y pérdida de carga en tuberías</t>
  </si>
  <si>
    <t>PRI-L11-3</t>
  </si>
  <si>
    <t>06.4.1. D p1</t>
  </si>
  <si>
    <t>Primario - Material de las tuberías</t>
  </si>
  <si>
    <t>PRI-L11-1</t>
  </si>
  <si>
    <t>Pri - Diámetro máximo tubería (pulgadas o mm.)</t>
  </si>
  <si>
    <t>PRI-L11-2</t>
  </si>
  <si>
    <t>Secundario - Cantidad de circuitos en paralelo</t>
  </si>
  <si>
    <t>SEC-L11-4</t>
  </si>
  <si>
    <t>Secundario - Criterio de equilibrado</t>
  </si>
  <si>
    <t>SEC-L11-5</t>
  </si>
  <si>
    <t>Sec - Velocidad y pérdida de carga en tuberías</t>
  </si>
  <si>
    <t>SEC-L11-3</t>
  </si>
  <si>
    <t>Secundario  - Material de las tuberías</t>
  </si>
  <si>
    <t>SEC-L11-1</t>
  </si>
  <si>
    <t>Sec - Diámetro máximo tubería (pulgadas o mm.)</t>
  </si>
  <si>
    <t>SEC-L11-2</t>
  </si>
  <si>
    <t>06.4.2. B p2</t>
  </si>
  <si>
    <t>Pri - Caudal total diseño y de la bomba (l/h)</t>
  </si>
  <si>
    <t>PRI-L11-6</t>
  </si>
  <si>
    <t>06.4.2. B p3</t>
  </si>
  <si>
    <t>Pri - Pérdida carga total y presión bomba (mca)</t>
  </si>
  <si>
    <t>PRI-L11-7</t>
  </si>
  <si>
    <t>06.4.2. p1</t>
  </si>
  <si>
    <t>Pri - Marca, mod y tamaño bomba seleccionada</t>
  </si>
  <si>
    <t>PRI-L11-8</t>
  </si>
  <si>
    <t>Pri - Número de bombas en el circuito (uds.)</t>
  </si>
  <si>
    <t>PRI-L11-9</t>
  </si>
  <si>
    <t>Pri - Potencia eléctrica de la bomba (W)</t>
  </si>
  <si>
    <t>PRI-L11-10</t>
  </si>
  <si>
    <t>Sec - Caudal total diseño y de la bomba (l/h)</t>
  </si>
  <si>
    <t>SEC-L11-6</t>
  </si>
  <si>
    <t>Sec Pérdida carga total y presión bomba (mca)</t>
  </si>
  <si>
    <t>SEC-L11-7</t>
  </si>
  <si>
    <t>Sec Marca, mod y tamaño bomba seleccionada</t>
  </si>
  <si>
    <t>SEC-L11-8</t>
  </si>
  <si>
    <t>Sec - Número de bombas en el circuito (uds.)</t>
  </si>
  <si>
    <t>SEC-L11-9</t>
  </si>
  <si>
    <t>Sec - Potencia eléctrica de la bomba (W)</t>
  </si>
  <si>
    <t>SEC-L11-10</t>
  </si>
  <si>
    <t>Suma pot eléctricas (pri + sec) (W) y % s/ total</t>
  </si>
  <si>
    <t>L11-11</t>
  </si>
  <si>
    <t>06.4.3. B p1</t>
  </si>
  <si>
    <t>Válvula de seguridad en cada circuito cerrado</t>
  </si>
  <si>
    <t>06.4.3. B p2</t>
  </si>
  <si>
    <t>Válvula de seguridad en cada grupo de colectores</t>
  </si>
  <si>
    <t>Válvula de seguridad en cada acumulador</t>
  </si>
  <si>
    <t>06.4.3. C p1</t>
  </si>
  <si>
    <t>Válvula de retención en acometida de agua fría</t>
  </si>
  <si>
    <t>Válvula de retención para evitar flujos inversos</t>
  </si>
  <si>
    <t>Válvula de retención en cada bomba en paralelo</t>
  </si>
  <si>
    <t>Válvula de retención en circuito de recirculación</t>
  </si>
  <si>
    <t>06.4.3. D p1</t>
  </si>
  <si>
    <t>Válvulas de equilibrado en circuitos en paralelo</t>
  </si>
  <si>
    <t>06.4.3. D p2</t>
  </si>
  <si>
    <t>Válv equilibrado en circuitos alternativos por válvulas de 3 vías</t>
  </si>
  <si>
    <t>06.4.3. E p3</t>
  </si>
  <si>
    <t>Pendientes de las tuberías de drenaje</t>
  </si>
  <si>
    <t>06.4.4 p2</t>
  </si>
  <si>
    <t>Sistema preparación mezcla fluido del primario</t>
  </si>
  <si>
    <t>L7-5</t>
  </si>
  <si>
    <t>06.4.5 p10</t>
  </si>
  <si>
    <t>Sifón invertido con purga manual y escape conducido</t>
  </si>
  <si>
    <t>06.4.5 p11</t>
  </si>
  <si>
    <t>Botellín de desaire que pueda retener y acumular aire</t>
  </si>
  <si>
    <t>06.4.5 p12</t>
  </si>
  <si>
    <t>Purgadores automáticos con válvulas de corte</t>
  </si>
  <si>
    <t>06.4.5 p13</t>
  </si>
  <si>
    <t>Purga manual en acumuladores de capacidad &gt; 1000 litros</t>
  </si>
  <si>
    <t>06.5.1 p3</t>
  </si>
  <si>
    <t>L14-1</t>
  </si>
  <si>
    <t>06.5.1 p4</t>
  </si>
  <si>
    <t>L14-2</t>
  </si>
  <si>
    <t>06.5.1 p5</t>
  </si>
  <si>
    <t>L14-3</t>
  </si>
  <si>
    <t>06.5.1 p6</t>
  </si>
  <si>
    <t>L14-4</t>
  </si>
  <si>
    <t>06.5.1 p7</t>
  </si>
  <si>
    <t>L14-5</t>
  </si>
  <si>
    <t>06.5.1 p10</t>
  </si>
  <si>
    <t>L14-6</t>
  </si>
  <si>
    <t>06.5.1 p11</t>
  </si>
  <si>
    <t>L14-7</t>
  </si>
  <si>
    <t>06.5.1 p12</t>
  </si>
  <si>
    <t>L14-8</t>
  </si>
  <si>
    <t>06.5.1 p14</t>
  </si>
  <si>
    <t>06.5.2 p13</t>
  </si>
  <si>
    <t>L14-10</t>
  </si>
  <si>
    <t>06.6 p1</t>
  </si>
  <si>
    <t>Tipo y material aislamiento tuberías al exterior</t>
  </si>
  <si>
    <t>L11-12</t>
  </si>
  <si>
    <t>Tipo y material aislamiento tuberías al interior</t>
  </si>
  <si>
    <t>L11-16</t>
  </si>
  <si>
    <t>06.6 p3</t>
  </si>
  <si>
    <t>Aislamiento de todos los accesorios</t>
  </si>
  <si>
    <t>06.6 p7</t>
  </si>
  <si>
    <t>L11-15</t>
  </si>
  <si>
    <t>L11-19</t>
  </si>
  <si>
    <t>06.6 p8</t>
  </si>
  <si>
    <t>06.6 p9</t>
  </si>
  <si>
    <t>¿Procedimiento simplificado o alternativo?</t>
  </si>
  <si>
    <t>L11-20</t>
  </si>
  <si>
    <t>06.6.1 p1</t>
  </si>
  <si>
    <t>Conduct térmica aislamiento al exterior (W/m.K)</t>
  </si>
  <si>
    <t>L11-13</t>
  </si>
  <si>
    <t>Espesor aislam al exterior tub mayor diá. (mm.)</t>
  </si>
  <si>
    <t>L11-14</t>
  </si>
  <si>
    <t>Esp mín 18 mm tuberías D &lt; 35 mm exterior</t>
  </si>
  <si>
    <r>
      <t xml:space="preserve">Esp mín 24 mm tuberías D </t>
    </r>
    <r>
      <rPr>
        <sz val="7"/>
        <color theme="1"/>
        <rFont val="Calibri"/>
        <family val="2"/>
      </rPr>
      <t xml:space="preserve">≥ </t>
    </r>
    <r>
      <rPr>
        <sz val="7"/>
        <color theme="1"/>
        <rFont val="Calibri"/>
        <family val="2"/>
        <scheme val="minor"/>
      </rPr>
      <t>35 mm exterior</t>
    </r>
  </si>
  <si>
    <t>Conduct térmica aislamiento al interior (W/m.K)</t>
  </si>
  <si>
    <t>L11-17</t>
  </si>
  <si>
    <t>Espesor aislam al interior tub mayor diá. (mm.)</t>
  </si>
  <si>
    <t>L11-18</t>
  </si>
  <si>
    <t>Esp mín 12 mm tuberías D &lt; 35 mm interior</t>
  </si>
  <si>
    <r>
      <t xml:space="preserve">Esp mín 18 mm tuberías D </t>
    </r>
    <r>
      <rPr>
        <sz val="7"/>
        <color theme="1"/>
        <rFont val="Calibri"/>
        <family val="2"/>
      </rPr>
      <t xml:space="preserve">≥ </t>
    </r>
    <r>
      <rPr>
        <sz val="7"/>
        <color theme="1"/>
        <rFont val="Calibri"/>
        <family val="2"/>
        <scheme val="minor"/>
      </rPr>
      <t>35 mm interior</t>
    </r>
  </si>
  <si>
    <t>06.6.1 p2</t>
  </si>
  <si>
    <t>L9-15</t>
  </si>
  <si>
    <t>L9-16</t>
  </si>
  <si>
    <t>Conduct térmica del aislam al exterior (W/m.K)</t>
  </si>
  <si>
    <t>L9-17</t>
  </si>
  <si>
    <t>L9-18</t>
  </si>
  <si>
    <t>L9-19</t>
  </si>
  <si>
    <t>Límte de pérdidas térmicas de UNIT 1195</t>
  </si>
  <si>
    <t>06.6.1 p3</t>
  </si>
  <si>
    <t>Espesores en redes de distribución + 6 mm.</t>
  </si>
  <si>
    <t>06.6.1 p4</t>
  </si>
  <si>
    <t>Espesor mín 6 mm para D&lt;20 mm y L&lt;5m empotradas</t>
  </si>
  <si>
    <t>06.7 p1</t>
  </si>
  <si>
    <t>L16-1</t>
  </si>
  <si>
    <t>L16-4</t>
  </si>
  <si>
    <t>L16-5</t>
  </si>
  <si>
    <t>Esquema eléctrico del sistema de control</t>
  </si>
  <si>
    <t>06.7 p2</t>
  </si>
  <si>
    <t>L16-10</t>
  </si>
  <si>
    <t>06.7 p6</t>
  </si>
  <si>
    <t>Cumplimiento de la normativa eléctrica</t>
  </si>
  <si>
    <t>06.7.1. p1</t>
  </si>
  <si>
    <t>L16-6</t>
  </si>
  <si>
    <t>06.7.1. p3</t>
  </si>
  <si>
    <t>L16-7</t>
  </si>
  <si>
    <t>06.7.1. p4</t>
  </si>
  <si>
    <t>Colocación sensor temperatura de colectores</t>
  </si>
  <si>
    <t>06.7.1. p5</t>
  </si>
  <si>
    <t>Colocación sensor temperatura de acumulador</t>
  </si>
  <si>
    <t>06.7.1. p6</t>
  </si>
  <si>
    <t>L16-8</t>
  </si>
  <si>
    <t>06.7.1. p7</t>
  </si>
  <si>
    <t>Diferencia de temperaturas superior a 2ºC</t>
  </si>
  <si>
    <t>06.7.1. p8</t>
  </si>
  <si>
    <t>L16-9</t>
  </si>
  <si>
    <t>06.7.2. A p1</t>
  </si>
  <si>
    <t>Limita temp máxima acumulador (ºC) y actúa?</t>
  </si>
  <si>
    <t>L16-11</t>
  </si>
  <si>
    <t>06.7.2. B p1</t>
  </si>
  <si>
    <t>Limita temp máxima en primario (ºC) y actúa?</t>
  </si>
  <si>
    <t>L16-12</t>
  </si>
  <si>
    <t>06.7.2. B p2</t>
  </si>
  <si>
    <t>Función subordinada a la protección del acumulador</t>
  </si>
  <si>
    <t>06.7.2. C p1</t>
  </si>
  <si>
    <t>Limita temp mínima en primario (ºC) y actúa?</t>
  </si>
  <si>
    <t>L16-13</t>
  </si>
  <si>
    <t>CAP 7</t>
  </si>
  <si>
    <t>CÁLCULO DE PRESTACIONES</t>
  </si>
  <si>
    <t>07.1 p2</t>
  </si>
  <si>
    <t>Otros valores de uso y se justifican?</t>
  </si>
  <si>
    <t>L2-5</t>
  </si>
  <si>
    <t>07.1.1 p2</t>
  </si>
  <si>
    <t>L2-1</t>
  </si>
  <si>
    <t>Consumos unitarios (l/p.d) - Otros usos</t>
  </si>
  <si>
    <t>Consumos unitarios (l/p.d) - Viviendas</t>
  </si>
  <si>
    <t>Temperatura de referencia (ºC)</t>
  </si>
  <si>
    <t>L2-6</t>
  </si>
  <si>
    <t>07.1.1 p4</t>
  </si>
  <si>
    <t>Programa funcional define datos de uso ?</t>
  </si>
  <si>
    <t>Número total de personas - Otros usos</t>
  </si>
  <si>
    <t>L2-4</t>
  </si>
  <si>
    <t>07.1.1.1 p1</t>
  </si>
  <si>
    <t>Número de personas por vivienda</t>
  </si>
  <si>
    <t>L2-3</t>
  </si>
  <si>
    <t>Número total de personas - Viviendas</t>
  </si>
  <si>
    <t>07.1.1.1 p2</t>
  </si>
  <si>
    <t>L2-2</t>
  </si>
  <si>
    <t>07.1.1.1 p3</t>
  </si>
  <si>
    <t>Consumo diario (l/d) - Otros usos</t>
  </si>
  <si>
    <t>L2-7</t>
  </si>
  <si>
    <t>07.1.1.2 p1</t>
  </si>
  <si>
    <t>Consumo diario (l/d) - Viviendas</t>
  </si>
  <si>
    <t>07.1.1.3 p1</t>
  </si>
  <si>
    <t>Estacionalidad</t>
  </si>
  <si>
    <t>07.1.1.3 p2</t>
  </si>
  <si>
    <t>E1: no varía la ocupación y valor medio</t>
  </si>
  <si>
    <t>07.1.1.3 p3</t>
  </si>
  <si>
    <t>E2: si varía la ocupación y valor medio</t>
  </si>
  <si>
    <t>07.1.1.3 p4</t>
  </si>
  <si>
    <t>E3: si varía la ocupación y valor medio</t>
  </si>
  <si>
    <t>07.1.1.3 p5</t>
  </si>
  <si>
    <t>Referencia sector turístico</t>
  </si>
  <si>
    <t>07.1.1.3 p6</t>
  </si>
  <si>
    <t>Datos de distribución de la ocupación</t>
  </si>
  <si>
    <t>L4-2 a 13</t>
  </si>
  <si>
    <t>07.1.1.3 p7</t>
  </si>
  <si>
    <t>Justificación en otras edificaciones</t>
  </si>
  <si>
    <t>07.1.1.4 p1</t>
  </si>
  <si>
    <t>Contraste de datos para edificios existentes</t>
  </si>
  <si>
    <t>07.1.1.4 p2</t>
  </si>
  <si>
    <t>¿Cálculo alternativo de prestaciones?</t>
  </si>
  <si>
    <t>07.1.2 p1</t>
  </si>
  <si>
    <t>Fuente de datos de temperaturas de agua fría</t>
  </si>
  <si>
    <t>L2-8</t>
  </si>
  <si>
    <t>07.1.2 p2</t>
  </si>
  <si>
    <t>Justificación de otros datos de temp agua fría</t>
  </si>
  <si>
    <t>DA?</t>
  </si>
  <si>
    <t>07.1.3 p6</t>
  </si>
  <si>
    <t>Temperatura de uso (ºC)</t>
  </si>
  <si>
    <t>Temperatura de distribución (ºC)</t>
  </si>
  <si>
    <t>Temperatura de preparación (ºC)</t>
  </si>
  <si>
    <t>07.3 p1</t>
  </si>
  <si>
    <t>Fuentes de datos climáticos</t>
  </si>
  <si>
    <t>Variables para cálculos de radiación:</t>
  </si>
  <si>
    <t>L2-9</t>
  </si>
  <si>
    <t>07.4 p5</t>
  </si>
  <si>
    <t>Aplicación del cálculo de prestaciones</t>
  </si>
  <si>
    <t>L4-1</t>
  </si>
  <si>
    <t>Método de cálculo de prestaciones</t>
  </si>
  <si>
    <t>07.5.1 p1</t>
  </si>
  <si>
    <t>Colector solar - Ref. autorización</t>
  </si>
  <si>
    <t>L3-1</t>
  </si>
  <si>
    <t>Colector solar - Número</t>
  </si>
  <si>
    <t>Colector solar - Tamaño Unidad</t>
  </si>
  <si>
    <t>Colector solar - Superficie Total</t>
  </si>
  <si>
    <t>Acumulación solar - Ref. autorización</t>
  </si>
  <si>
    <t>L3-2</t>
  </si>
  <si>
    <t>Acumulación solar - Número</t>
  </si>
  <si>
    <t>Acumulación solar - Unidad</t>
  </si>
  <si>
    <t>Acumulación solar - Total</t>
  </si>
  <si>
    <t>Relación volumen/area</t>
  </si>
  <si>
    <t>L3-3</t>
  </si>
  <si>
    <t>Coeficientes cuadráticos del colector</t>
  </si>
  <si>
    <t>L3-4</t>
  </si>
  <si>
    <t>Coeficientes lineales y MAI del colector</t>
  </si>
  <si>
    <t>L3-5</t>
  </si>
  <si>
    <t>L3-6</t>
  </si>
  <si>
    <t>Datos circuitos - Caudal primario (l/h)</t>
  </si>
  <si>
    <t>L3-7</t>
  </si>
  <si>
    <t>Datos circuitos - Tipo conexión colectores</t>
  </si>
  <si>
    <t>Fluido primario - Calor específico y densidad</t>
  </si>
  <si>
    <t>Fluido secundario - Calor específico y densidad</t>
  </si>
  <si>
    <t>L3-8</t>
  </si>
  <si>
    <t>07.5.1 p2</t>
  </si>
  <si>
    <t>Procedencia datos de rendimiento colector</t>
  </si>
  <si>
    <t>07.5.2</t>
  </si>
  <si>
    <t>Aplicación y herramienta de cálculo f-chart</t>
  </si>
  <si>
    <t>07.5.2 p5</t>
  </si>
  <si>
    <t>Resultados - Demanda de ACS (kWh/año)</t>
  </si>
  <si>
    <t>L4-15</t>
  </si>
  <si>
    <t>Resultados - Aporte solar (kWh/año)</t>
  </si>
  <si>
    <t>07.5.2 p6</t>
  </si>
  <si>
    <t>Resultados - Fracción Solar (%)</t>
  </si>
  <si>
    <t>Cumple la FS el valor mínimo establecido?</t>
  </si>
  <si>
    <t>¿FS&gt;50? Y ¿FS&gt; a mínimo de proyecto?</t>
  </si>
  <si>
    <t>Las especificaciones de proyecto podrán adoptar otro valor de FS superior al mínimo exigido</t>
  </si>
  <si>
    <t>Clasificación de requisitos para revisión de proyectos e inspección de instalaciones</t>
  </si>
  <si>
    <t>Descripción del requisito</t>
  </si>
  <si>
    <t>Cantidad</t>
  </si>
  <si>
    <t>Evaluación del requisito y actuaciones inducidas</t>
  </si>
  <si>
    <t>No suponen requisitos o están repetidos</t>
  </si>
  <si>
    <t>Se podrían eliminar aunque mejor sería mantenerlos por organización</t>
  </si>
  <si>
    <t>sum</t>
  </si>
  <si>
    <t>fallos importantes y proyecto no autorizable hasta subsanación</t>
  </si>
  <si>
    <t>Requisitos importantes (graves)</t>
  </si>
  <si>
    <t>fallos fundamentales y el proyecto se debería devolver para rectificación (parcial o total)</t>
  </si>
  <si>
    <t>Capítulo, contenido y requisito a controlar</t>
  </si>
  <si>
    <t>OBSERVACIONES</t>
  </si>
  <si>
    <t>RESUMEN</t>
  </si>
  <si>
    <t>1. Emplazamiento edificio, colectores y sala técnica. Orientación, obstáculos  y sombras</t>
  </si>
  <si>
    <t>2. Ubicación de colectores (separaciones, distancias entre ellos y a obstáculos, accesos)</t>
  </si>
  <si>
    <t>3. Distribución sala técnica y situación acumulación, intercambio, bombas, expansión y control</t>
  </si>
  <si>
    <t>4. Circuitos y trazado circuitos, diseño y situación componentes (v corte, seguridad, purga, …)</t>
  </si>
  <si>
    <t>5. Complementos hidráulicos: sistema de sistemas de llenado, purga y vaciado. Sistema de medida</t>
  </si>
  <si>
    <t>6. Sistema de energía auxiliar. Integración y conexión con las restantes instalaciones del edificio</t>
  </si>
  <si>
    <t>7. Esquema de funcionamiento completo. Diagrama o esquema de principio</t>
  </si>
  <si>
    <t>8. Esquema eléctrico y de control. Detalles de posición de sondas y elementos de campo</t>
  </si>
  <si>
    <t>9. Diseño de estructura y sujeción de colectores y acumuladores. Soportes y detalles constructivos</t>
  </si>
  <si>
    <t>Emplazamiento edificio, colectores y sala técnica. Orientación, obstáculos y sombras ( ver DA1)</t>
  </si>
  <si>
    <t>Emplazamiento del edificio, de la instalación (colectores y sala técnica)</t>
  </si>
  <si>
    <t>Orientación de la parcela, del edificio y de los colectores. Inclinación de colectores</t>
  </si>
  <si>
    <t>Misma orientación e inclinación de todos los colectores</t>
  </si>
  <si>
    <t>Definición del entorno lejano al norte ± 90º. Criterios presentes o futuros</t>
  </si>
  <si>
    <t>Definición del entorno cercano al norte  ± 90º. Alternativas a sombras del propio edificio</t>
  </si>
  <si>
    <t>Representación de perfiles de obstáculos y de los espacios en sombra</t>
  </si>
  <si>
    <t>Cálculo de las sombras externas. Pérdidas por sombras</t>
  </si>
  <si>
    <t>Implantación y distribución de colectores</t>
  </si>
  <si>
    <t>Espacios ocupados y libres. Distancias y márgenes</t>
  </si>
  <si>
    <t>Integración con otros elementos constructivos: castilletes, estanques, etc.</t>
  </si>
  <si>
    <t>Integración con otros equipamientos: chimeneas, shunts, condensadores, etc.</t>
  </si>
  <si>
    <t>Número de líneas de colectores y de baterías por línea.</t>
  </si>
  <si>
    <t>Sombras frontales</t>
  </si>
  <si>
    <t>Sombras laterales</t>
  </si>
  <si>
    <t>Ubicación, número y dimensiones de acumuladores</t>
  </si>
  <si>
    <t>Distancias, situación boca registro y conexiones. Distribución de presiones</t>
  </si>
  <si>
    <t>Conexionado y situación de válvulas de corte para equipos</t>
  </si>
  <si>
    <t>Medidas para evitar flujo inverso desde acumuladores</t>
  </si>
  <si>
    <t>Intercambiador: ubicación, acceso y válvulas de corte</t>
  </si>
  <si>
    <t>Bombas circuladoras: ubicación, acceso y accesorios hidráulicos</t>
  </si>
  <si>
    <t>Sistema de expansión del circuito primario</t>
  </si>
  <si>
    <t>Control de condiciones de montaje según manuales de fabricantes</t>
  </si>
  <si>
    <t>Distancias entre equipamientos para acceso, registro y mantenimiento</t>
  </si>
  <si>
    <t>Circuitos y trazado circuitos, diseño y situación componentes (v corte, seguridad, purga, …)</t>
  </si>
  <si>
    <t>Colectores por batería y conexión interna  de batería</t>
  </si>
  <si>
    <t>Conexión externa de la batería: corte, seguridad, vaciado u purga</t>
  </si>
  <si>
    <t>Grupos, organización del equilibrado  y sistema de equilibrado</t>
  </si>
  <si>
    <t>Trazados de interconexión desde colectores hasta acumuladores, con SEA y consumos</t>
  </si>
  <si>
    <t>Trazados internos de sala técnica: primario, secundario y consumo</t>
  </si>
  <si>
    <t>Caudales, diámetros, y materiales de tuberías</t>
  </si>
  <si>
    <t>Trazados al exterior e interior. Espesores y protección de aislamientos de tuberías</t>
  </si>
  <si>
    <t>Disposición y accesibilidad d valvulería de corte, seguridad, vaciado y purga</t>
  </si>
  <si>
    <t>Sistemas de purga y evacuación de líquido/aire</t>
  </si>
  <si>
    <t>Válvulas de vaciado</t>
  </si>
  <si>
    <t>Manómetro de primario</t>
  </si>
  <si>
    <t>Situación termómetros</t>
  </si>
  <si>
    <t>Contadores de caudal y de energía</t>
  </si>
  <si>
    <t>Localización y separaciones entre equipamientos</t>
  </si>
  <si>
    <t>Punto de conexión de alimentación agua fría. Diámetro y presión disponible</t>
  </si>
  <si>
    <t xml:space="preserve">Válvula de corte y antirretorno en entrada de agua fría </t>
  </si>
  <si>
    <t>Válvula termostática de salida</t>
  </si>
  <si>
    <t>Vaciados, drenajes y conducción a desagües</t>
  </si>
  <si>
    <t>Esquema sencillo, funcional y completo</t>
  </si>
  <si>
    <t>Configuración solar admitida</t>
  </si>
  <si>
    <t>Tipo de intercambiador</t>
  </si>
  <si>
    <t>Conexionado de acumulador(es) y elementos accesorios</t>
  </si>
  <si>
    <t>Localización de sistemas de expansión y seguridad</t>
  </si>
  <si>
    <t>Situación y funcionamiento de toda la valvulería</t>
  </si>
  <si>
    <t>Elementos que faltan y elementos prescindibles</t>
  </si>
  <si>
    <t>Conexionado con sistema auxiliar serie y con consumo</t>
  </si>
  <si>
    <t>Simbología, descripción y otras anotaciones</t>
  </si>
  <si>
    <t>Sistema de control y esquema eléctrico. Detalles de posición de sondas y elementos de campo</t>
  </si>
  <si>
    <t>Posición sonda de colectores</t>
  </si>
  <si>
    <t>Posición sonda fría y caliente de acumulador</t>
  </si>
  <si>
    <t>Caudalímetro/Energía de consumo</t>
  </si>
  <si>
    <t>Situación de cuadro eléctrico</t>
  </si>
  <si>
    <t>Protección general y de líneas</t>
  </si>
  <si>
    <t>Mandos eléctricos de manual-paro-automático</t>
  </si>
  <si>
    <t>Punto de conexión de alimentación eléctrica</t>
  </si>
  <si>
    <t>Diseño de estructura y sujeción de colectores y acumuladores. (Considerar junto con DA2)</t>
  </si>
  <si>
    <t>Definición de la estructura normalizada de colectores y acumuladores</t>
  </si>
  <si>
    <t>Definición de la estructura base de la edificación o terreno</t>
  </si>
  <si>
    <t>Soluciones adoptadas en las interacciones con la edificación</t>
  </si>
  <si>
    <t>Definición de la estructura intermedia</t>
  </si>
  <si>
    <t>Delimitación del alcance de los nuevos elementos constructivos</t>
  </si>
  <si>
    <t>Diseño y detalles constructivos de estructuras, etc.</t>
  </si>
  <si>
    <t>Canalización de agua de lluvia y de escapes de fluidos de la instalación</t>
  </si>
  <si>
    <t>Elementos para soporte de tuberías</t>
  </si>
  <si>
    <t>Definición de obra civil y albañilerías complementarias</t>
  </si>
  <si>
    <t>¿Se usan otros valores de consumo y justificados?</t>
  </si>
  <si>
    <t>L1-12</t>
  </si>
  <si>
    <r>
      <t xml:space="preserve">Dentro del rango Norte </t>
    </r>
    <r>
      <rPr>
        <sz val="8"/>
        <color theme="1"/>
        <rFont val="Calibri"/>
        <family val="2"/>
      </rPr>
      <t>± 45º</t>
    </r>
  </si>
  <si>
    <r>
      <t xml:space="preserve">Dentro del rango relacionado con la latitud </t>
    </r>
    <r>
      <rPr>
        <sz val="8"/>
        <color theme="1"/>
        <rFont val="Calibri"/>
        <family val="2"/>
      </rPr>
      <t>± 15º - Ojo distribución mensual</t>
    </r>
  </si>
  <si>
    <t>L12-19</t>
  </si>
  <si>
    <t>Previsiones por evacuación o fugas</t>
  </si>
  <si>
    <t>Solo para instalaciones ACS existentes</t>
  </si>
  <si>
    <t>Solo para instalaciones ACS existentes: material existente</t>
  </si>
  <si>
    <t>L15-1 y L12-6</t>
  </si>
  <si>
    <t xml:space="preserve">Todos los requisitos anteriores desde 170 a 209 </t>
  </si>
  <si>
    <t>Verificar anteriores para centralizada</t>
  </si>
  <si>
    <t>Idem anterior</t>
  </si>
  <si>
    <t>Que no afecta al funcionamiento solar - Recircula sobre el auxiliar</t>
  </si>
  <si>
    <t>DA-PRE</t>
  </si>
  <si>
    <t>Revisón planilla preinstalaciones</t>
  </si>
  <si>
    <t>Capítulo sólo para sistemas a medida</t>
  </si>
  <si>
    <t>Salvo aislamientos y pérdidas térmicas</t>
  </si>
  <si>
    <t>Revisar contenidos de 327 a 361 para otros circuitos</t>
  </si>
  <si>
    <t>¿Circuitos para SSP?¿ Para distribución y recirculación?</t>
  </si>
  <si>
    <t>DA-2 y MI</t>
  </si>
  <si>
    <t>¿dentro d rango?</t>
  </si>
  <si>
    <t>Para varios acumuladores - Verificar bypass en conexionado en serie</t>
  </si>
  <si>
    <t>Verificar sólo si hay un intercambiador seleccionado</t>
  </si>
  <si>
    <t>Temperatura de entrada (ºC) primario</t>
  </si>
  <si>
    <t>Temperatura de salida (ºC) secundario</t>
  </si>
  <si>
    <t>Sólo intercambiadores internos - interacumuladores</t>
  </si>
  <si>
    <t>Verificar grado de definición suficiente para cálculos ¿límite E1:100?</t>
  </si>
  <si>
    <t>Definición de caudales, diámetros y aislamientos</t>
  </si>
  <si>
    <t>Verificar definición de caudales, diámetros y aislamientos</t>
  </si>
  <si>
    <t>Verificar equilibrado y margen inferior al 10%</t>
  </si>
  <si>
    <t>Verificar caudales y/o saltos de temperatura inferiores al10%</t>
  </si>
  <si>
    <t>En DA3</t>
  </si>
  <si>
    <t>Solamente revisar en caso de procedimiento alternativo</t>
  </si>
  <si>
    <t>Pérdidas &lt; 5% en procedimiento alternativo</t>
  </si>
  <si>
    <t>Otra normativa</t>
  </si>
  <si>
    <t>¿Normativa?</t>
  </si>
  <si>
    <t>PyE</t>
  </si>
  <si>
    <t>Ver revisión de planos</t>
  </si>
  <si>
    <t>L8-27 y MI</t>
  </si>
  <si>
    <t>Ver dato en Manual Fabricante</t>
  </si>
  <si>
    <t>DA-3 PyE</t>
  </si>
  <si>
    <t>DA3 y revisión planos</t>
  </si>
  <si>
    <t>Ver revisión de planos. Y en obra</t>
  </si>
  <si>
    <t>En autorización URSEA</t>
  </si>
  <si>
    <t>En DA-3, revisión en planos y en obra</t>
  </si>
  <si>
    <t>DA-1 y PyE</t>
  </si>
  <si>
    <t>L8-28 y DA-1</t>
  </si>
  <si>
    <t>L8-29 y DA-1</t>
  </si>
  <si>
    <t>L8-31 y DA-2</t>
  </si>
  <si>
    <t>L8-31 y DA-3</t>
  </si>
  <si>
    <t>L8-31 y DA-4</t>
  </si>
  <si>
    <t>L8-32 y MI</t>
  </si>
  <si>
    <t>Revisar conformidad con Manual del fabrcante. Para PD y PE</t>
  </si>
  <si>
    <t>Verificar que se trata del tipo de sistema declarado. Ver componentes autorizados</t>
  </si>
  <si>
    <t>Sist a medida - En sistemas a medida, siempre tiene que ser forzada</t>
  </si>
  <si>
    <t>Sist a medida - Siempre tiene que ser indirecto (sea interno o externo)</t>
  </si>
  <si>
    <t>Sist a medida - Normalmente será partido o separado. No hay que controlarlo</t>
  </si>
  <si>
    <t>Comentarios sobre los requisito a cumplir/controlar</t>
  </si>
  <si>
    <t>Evaluar si está justificado utilizar otros datos de consumo</t>
  </si>
  <si>
    <t>¿Verificar selección?</t>
  </si>
  <si>
    <t>Verificar con datos de la Tabla 7.1</t>
  </si>
  <si>
    <t>Si no fuera 45º hacer la transformación para evaluar los datos de consumo</t>
  </si>
  <si>
    <t>Aprobar el uso de un programa funcional distinto al de las ETUS</t>
  </si>
  <si>
    <t>Validar los datos</t>
  </si>
  <si>
    <t>Verificar si se adoptan otros distintos a los de las ETUS</t>
  </si>
  <si>
    <t>Verificar</t>
  </si>
  <si>
    <t>Cálculo automático</t>
  </si>
  <si>
    <t>Verificar datos utillizados</t>
  </si>
  <si>
    <t>Verificar estacionalidad declarada conforme a ETUS 07.1.1.3</t>
  </si>
  <si>
    <t>Sistema de llenado y factibilidad proceso. No reposición directa a mezclas</t>
  </si>
  <si>
    <t>Temperatura máxima (ºC). Primario</t>
  </si>
  <si>
    <t>Temperatura máxima (ºC). Sec y consumo</t>
  </si>
  <si>
    <t>V que están definidas para todos los circuitos y correctas</t>
  </si>
  <si>
    <t>Tmáx. Comprobar valores por defecto</t>
  </si>
  <si>
    <t>Temperatura mínima (ºC). Exterior</t>
  </si>
  <si>
    <t>Temperatura mínima (ºC). Interior</t>
  </si>
  <si>
    <t>Idem ant. Y verificar temperatura mínima impuesta por circuito al exterior</t>
  </si>
  <si>
    <t>Comprobar que presiónes máximas de otro componentes son superiores a los siguientes</t>
  </si>
  <si>
    <t>Comprobar datos de presiónes máximas de los componentes referidos</t>
  </si>
  <si>
    <t>Componente crítico para definir presión máx</t>
  </si>
  <si>
    <t>Presión nominal (bar) de componentes</t>
  </si>
  <si>
    <t>Presión máx (bar)comp crítico. Superior</t>
  </si>
  <si>
    <t>Presión máx (bar) comp crítico. Inferior</t>
  </si>
  <si>
    <t>Presión (bar) tarado válv seguridad. Inf</t>
  </si>
  <si>
    <t>Presión (bar) tarado válv seguridad. Sup</t>
  </si>
  <si>
    <t>Altura (metros) entre superior e inferior</t>
  </si>
  <si>
    <t>Presión máxima (bar). Superior</t>
  </si>
  <si>
    <t>Presión máxima (bar). Inferior</t>
  </si>
  <si>
    <t>Comprobar alturas en planos</t>
  </si>
  <si>
    <t>L6-10 y L12-14</t>
  </si>
  <si>
    <t>Presión mínima (bar). Superior</t>
  </si>
  <si>
    <t>Presión mínima (bar). Inferior</t>
  </si>
  <si>
    <t>Primario. Presión mín en frío (0,5 y 1,5 bar)</t>
  </si>
  <si>
    <t>Valor dentro del rango admisible (o,5 y 1,5 bar)</t>
  </si>
  <si>
    <t>L6-21 y 22</t>
  </si>
  <si>
    <t>Comprobar si hay mat plástico y en FT que soporta la acción combinada en las condiciones más desfavorables</t>
  </si>
  <si>
    <t>Verificar en FT es propilenglicol y no de etilenglicol</t>
  </si>
  <si>
    <t>FT del fluido</t>
  </si>
  <si>
    <t>Ver en FT proporción mezcla para -13ºC</t>
  </si>
  <si>
    <t>Composición del anticongelante</t>
  </si>
  <si>
    <t>Comprobar datos de la FT del fluido</t>
  </si>
  <si>
    <t>L7-6 y L7-7</t>
  </si>
  <si>
    <t>Ver revisión de planos y en obra</t>
  </si>
  <si>
    <t>Comprobar datos de FT Vaso expansión</t>
  </si>
  <si>
    <t>Drenaje automático</t>
  </si>
  <si>
    <t>Protección seguridad intrínseca. Secundario</t>
  </si>
  <si>
    <t>Protección seguridad intrínseca. Primario</t>
  </si>
  <si>
    <t>Medidas que evitan flujo inverso en circuito</t>
  </si>
  <si>
    <t>Medidas para evitar quemaduras usuario &lt; 60ºC</t>
  </si>
  <si>
    <t>Medidas para evitar quemaduras por evacuación fluidos</t>
  </si>
  <si>
    <t>Medidas para evitar quemaduras por superficies &gt; 80ºC</t>
  </si>
  <si>
    <t>Medidas que evitan flujo inverso en entrada agua fría</t>
  </si>
  <si>
    <t>Medidas que evitan flujo inverso en conexiones acumulador</t>
  </si>
  <si>
    <t>Formar vapor y exp</t>
  </si>
  <si>
    <t>Impedir vapor y exp</t>
  </si>
  <si>
    <t xml:space="preserve">Evitan flujo inverso en circuito: </t>
  </si>
  <si>
    <t xml:space="preserve">Evitan flujo inverso en conex acumulador: </t>
  </si>
  <si>
    <t>Evitan flujo inverso en entrada fría:</t>
  </si>
  <si>
    <t>Evitar quemaduras por temp uso &lt; 60ºC</t>
  </si>
  <si>
    <t xml:space="preserve">Evitar quemaduras por evacua fluidos: </t>
  </si>
  <si>
    <t xml:space="preserve">Evitar quemaduras por superficies &gt;80ºC: </t>
  </si>
  <si>
    <t>Seguridad intrínseca primario</t>
  </si>
  <si>
    <t xml:space="preserve">Protección altas presiones primario: </t>
  </si>
  <si>
    <t xml:space="preserve">Protección altas presiones consumo: </t>
  </si>
  <si>
    <t>L6-14</t>
  </si>
  <si>
    <t>L6-16</t>
  </si>
  <si>
    <t>L6-18</t>
  </si>
  <si>
    <t>L6-20</t>
  </si>
  <si>
    <t>L6-22</t>
  </si>
  <si>
    <t>Ver revisión planos y en obra</t>
  </si>
  <si>
    <t>Verificar en todos los circuitos que puedan tener flujo inverso</t>
  </si>
  <si>
    <t>Verificar en las conexiones del acumulador</t>
  </si>
  <si>
    <t>Los escapes conducidos de valvulas de seguridad, de vaciado, de purga, etc.</t>
  </si>
  <si>
    <t>Verificar sistema seleccionado en diseño y planos</t>
  </si>
  <si>
    <t>Verificar circuitos cerrados</t>
  </si>
  <si>
    <t>Verificar si es necesario y el sistema seleccionado en diseño y planos</t>
  </si>
  <si>
    <t>Depresión de acumuladores en altura</t>
  </si>
  <si>
    <t>Presión interacumuladores de doble envolvente</t>
  </si>
  <si>
    <t>Coefi presiones  no sea inferior a 2</t>
  </si>
  <si>
    <t>Verificar que es superior al volumen total calculado</t>
  </si>
  <si>
    <t>Verificar por procedimiento aplicado</t>
  </si>
  <si>
    <t>fallos leves admisibles hasta ¿3 ó 5? Proyecto autorizado con observaciones</t>
  </si>
  <si>
    <t>Recorridos desde la instalación solar hasta el SEA y puntos de consumo</t>
  </si>
  <si>
    <t>Circuito de consumo y de recirculación (si existiera)</t>
  </si>
  <si>
    <t>Puntos de conexión de los sistemas de purga</t>
  </si>
  <si>
    <t>Justificación de las superficies del edificio no utilizables por sombras</t>
  </si>
  <si>
    <t>Delimitación de zona técnica no accesible. Previsión de accesos para mantenimiento</t>
  </si>
  <si>
    <t>Sistema de energía auxiliar SEA. Integración y conexión con las restantes instalaciones del edificio</t>
  </si>
  <si>
    <t>Distancias entre líneas y separaciones entre baterías</t>
  </si>
  <si>
    <t>Trazado hidráulico de primario: longitudes consideradas.</t>
  </si>
  <si>
    <t>Detalles hidráulicos: tipo y posición valvulería</t>
  </si>
  <si>
    <t>Tuberías de evacuación de los escapes conducidos. Detalles, visible, drenajes.</t>
  </si>
  <si>
    <t>Otras sondas de temperatura: intercambiador, agua fría, SEA, etc.</t>
  </si>
  <si>
    <t>Trazado de líneas eléctricas</t>
  </si>
  <si>
    <t>Revisar DA-1 y planos</t>
  </si>
  <si>
    <t>Revisar DA-2 y planos</t>
  </si>
  <si>
    <t>Revisión en Proyecto Básico y Planilla de componentes preinstalaciones</t>
  </si>
  <si>
    <t>DA3, revisión planos y en obra</t>
  </si>
  <si>
    <t>Requisitos exclusivos para inspección de instalaciones</t>
  </si>
  <si>
    <t>Requisitos revisables exclusivamente durante la inspección de instalaciones</t>
  </si>
  <si>
    <t>Comprobar tubería al vaso sin aislamiento y de capacidad de disipación suficiente</t>
  </si>
  <si>
    <t>Situación próxima de seguridad, manómetro y expansión</t>
  </si>
  <si>
    <t>PRI L13-12</t>
  </si>
  <si>
    <t>PRI L13-13</t>
  </si>
  <si>
    <t>PRI L13-15</t>
  </si>
  <si>
    <t>PRI L13-17</t>
  </si>
  <si>
    <t>SEC L13-12</t>
  </si>
  <si>
    <t>SEC L13-13</t>
  </si>
  <si>
    <t>SEC L13-15</t>
  </si>
  <si>
    <r>
      <t xml:space="preserve">No serían importantes desviaciones en orientación dentro del N </t>
    </r>
    <r>
      <rPr>
        <sz val="8"/>
        <color theme="1"/>
        <rFont val="Calibri"/>
        <family val="2"/>
      </rPr>
      <t xml:space="preserve">± </t>
    </r>
    <r>
      <rPr>
        <sz val="8"/>
        <color theme="1"/>
        <rFont val="Calibri"/>
        <family val="2"/>
        <scheme val="minor"/>
      </rPr>
      <t xml:space="preserve">45º. Precisión de </t>
    </r>
    <r>
      <rPr>
        <sz val="8"/>
        <color theme="1"/>
        <rFont val="Calibri"/>
        <family val="2"/>
      </rPr>
      <t>± 5º</t>
    </r>
  </si>
  <si>
    <t>Revisar datos de la documentación correspoden a relidad</t>
  </si>
  <si>
    <t>Sobre todo revisar para redes de instalaciones ACS existentes: punto de conexión</t>
  </si>
  <si>
    <t>Previsión de que puede haber derrame de cualquier parte del circuito (acumuladores)</t>
  </si>
  <si>
    <t>Necesidad de ver los escapes conducidos</t>
  </si>
  <si>
    <t>Control de sombras completo cuando pueden existir problemas</t>
  </si>
  <si>
    <t>Requisitos no críticos (leves)</t>
  </si>
  <si>
    <t>Requisitos significativos (menos graves)</t>
  </si>
  <si>
    <t>Requisito de contenidos Planos y Esquemas, DA y FT</t>
  </si>
  <si>
    <t>Evaluar contenidos de planos, documentación anexa y FT y su reflejo en MT</t>
  </si>
  <si>
    <t>Requisitos adicionales</t>
  </si>
  <si>
    <t>Otros requisitos evaluables</t>
  </si>
  <si>
    <t>Datos disponibles</t>
  </si>
  <si>
    <t>Localización de la parcela en su plano de situación o urbanización</t>
  </si>
  <si>
    <t>eir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</si>
</sst>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
    <numFmt numFmtId="168" formatCode="#\°\ "/>
    <numFmt numFmtId="169" formatCode="0.0000"/>
    <numFmt numFmtId="170" formatCode="[$$-380A]#,##0.00;[Red]&quot;(&quot;[$$-380A]#,##0.00&quot;)&quot;"/>
  </numFmts>
  <fonts count="54" x14ac:knownFonts="1">
    <font>
      <sz val="11"/>
      <color theme="1"/>
      <name val="Calibri"/>
      <family val="2"/>
      <scheme val="minor"/>
    </font>
    <font>
      <sz val="8"/>
      <name val="Arial"/>
      <family val="2"/>
    </font>
    <font>
      <sz val="8"/>
      <color theme="1"/>
      <name val="Arial Narrow"/>
      <family val="2"/>
    </font>
    <font>
      <b/>
      <sz val="8"/>
      <color theme="1"/>
      <name val="Arial Narrow"/>
      <family val="2"/>
    </font>
    <font>
      <b/>
      <sz val="10"/>
      <color theme="1"/>
      <name val="Arial Narrow"/>
      <family val="2"/>
    </font>
    <font>
      <sz val="7"/>
      <color theme="1"/>
      <name val="Arial Narrow"/>
      <family val="2"/>
    </font>
    <font>
      <sz val="8"/>
      <name val="Arial Narrow"/>
      <family val="2"/>
    </font>
    <font>
      <vertAlign val="subscript"/>
      <sz val="8"/>
      <name val="Arial Narrow"/>
      <family val="2"/>
    </font>
    <font>
      <sz val="8"/>
      <color theme="1"/>
      <name val="Calibri"/>
      <family val="2"/>
    </font>
    <font>
      <vertAlign val="subscript"/>
      <sz val="8"/>
      <color theme="1"/>
      <name val="Arial Narrow"/>
      <family val="2"/>
    </font>
    <font>
      <sz val="6"/>
      <color theme="1"/>
      <name val="Arial Narrow"/>
      <family val="2"/>
    </font>
    <font>
      <sz val="8"/>
      <color theme="1"/>
      <name val="Calibri"/>
      <family val="2"/>
      <scheme val="minor"/>
    </font>
    <font>
      <sz val="8"/>
      <color indexed="18"/>
      <name val="Calibri"/>
      <family val="2"/>
      <scheme val="minor"/>
    </font>
    <font>
      <sz val="8"/>
      <name val="Calibri"/>
      <family val="2"/>
      <scheme val="minor"/>
    </font>
    <font>
      <sz val="8"/>
      <color indexed="8"/>
      <name val="Calibri"/>
      <family val="2"/>
      <scheme val="minor"/>
    </font>
    <font>
      <vertAlign val="superscript"/>
      <sz val="8"/>
      <color indexed="8"/>
      <name val="Arial Narrow"/>
      <family val="2"/>
    </font>
    <font>
      <sz val="8"/>
      <color indexed="8"/>
      <name val="Arial Narrow"/>
      <family val="2"/>
    </font>
    <font>
      <sz val="8"/>
      <name val="Tahoma"/>
      <family val="2"/>
    </font>
    <font>
      <vertAlign val="subscript"/>
      <sz val="8"/>
      <color indexed="8"/>
      <name val="Arial Narrow"/>
      <family val="2"/>
    </font>
    <font>
      <vertAlign val="subscript"/>
      <sz val="8"/>
      <name val="Tahoma"/>
      <family val="2"/>
    </font>
    <font>
      <b/>
      <sz val="8"/>
      <name val="Calibri"/>
      <family val="2"/>
      <scheme val="minor"/>
    </font>
    <font>
      <b/>
      <sz val="8"/>
      <name val="Tahoma"/>
      <family val="2"/>
    </font>
    <font>
      <sz val="10"/>
      <name val="Arial"/>
      <family val="2"/>
    </font>
    <font>
      <b/>
      <sz val="9"/>
      <color theme="1"/>
      <name val="Arial Narrow"/>
      <family val="2"/>
    </font>
    <font>
      <sz val="9"/>
      <color theme="1"/>
      <name val="Arial Narrow"/>
      <family val="2"/>
    </font>
    <font>
      <b/>
      <sz val="11"/>
      <color theme="1"/>
      <name val="Arial"/>
      <family val="2"/>
    </font>
    <font>
      <b/>
      <sz val="12"/>
      <color theme="1"/>
      <name val="Calibri"/>
      <family val="2"/>
      <scheme val="minor"/>
    </font>
    <font>
      <sz val="9"/>
      <name val="Arial"/>
      <family val="2"/>
    </font>
    <font>
      <sz val="11"/>
      <color theme="1"/>
      <name val="Arial"/>
      <family val="2"/>
    </font>
    <font>
      <b/>
      <i/>
      <sz val="16"/>
      <color theme="1"/>
      <name val="Arial"/>
      <family val="2"/>
    </font>
    <font>
      <b/>
      <i/>
      <u/>
      <sz val="11"/>
      <color theme="1"/>
      <name val="Arial"/>
      <family val="2"/>
    </font>
    <font>
      <b/>
      <sz val="12"/>
      <color theme="1"/>
      <name val="Arial"/>
      <family val="2"/>
    </font>
    <font>
      <b/>
      <sz val="14"/>
      <color theme="1"/>
      <name val="Arial Narrow"/>
      <family val="2"/>
    </font>
    <font>
      <b/>
      <sz val="9"/>
      <color rgb="FF00BC8B"/>
      <name val="Arial Narrow"/>
      <family val="2"/>
    </font>
    <font>
      <b/>
      <sz val="9"/>
      <color rgb="FF0AB2B2"/>
      <name val="Arial Narrow"/>
      <family val="2"/>
    </font>
    <font>
      <b/>
      <sz val="9"/>
      <name val="Arial Narrow"/>
      <family val="2"/>
    </font>
    <font>
      <sz val="9"/>
      <color theme="1"/>
      <name val="Calibri"/>
      <family val="2"/>
      <scheme val="minor"/>
    </font>
    <font>
      <sz val="7"/>
      <color theme="1"/>
      <name val="Calibri"/>
      <family val="2"/>
      <scheme val="minor"/>
    </font>
    <font>
      <b/>
      <sz val="8"/>
      <color theme="1"/>
      <name val="Calibri"/>
      <family val="2"/>
      <scheme val="minor"/>
    </font>
    <font>
      <b/>
      <sz val="7"/>
      <color theme="1"/>
      <name val="Calibri"/>
      <family val="2"/>
      <scheme val="minor"/>
    </font>
    <font>
      <sz val="7"/>
      <color theme="1"/>
      <name val="Calibri"/>
      <family val="2"/>
    </font>
    <font>
      <b/>
      <sz val="9"/>
      <color indexed="81"/>
      <name val="Tahoma"/>
      <family val="2"/>
    </font>
    <font>
      <sz val="9"/>
      <color indexed="81"/>
      <name val="Tahoma"/>
      <family val="2"/>
    </font>
    <font>
      <b/>
      <sz val="8"/>
      <color rgb="FF000000"/>
      <name val="Calibri"/>
      <family val="2"/>
    </font>
    <font>
      <sz val="8"/>
      <color rgb="FF000000"/>
      <name val="Calibri"/>
      <family val="2"/>
    </font>
    <font>
      <sz val="7"/>
      <color rgb="FF0070C0"/>
      <name val="Calibri"/>
      <family val="2"/>
      <scheme val="minor"/>
    </font>
    <font>
      <b/>
      <sz val="10"/>
      <name val="Arial"/>
      <family val="2"/>
    </font>
    <font>
      <b/>
      <sz val="9"/>
      <color rgb="FF00A87C"/>
      <name val="Arial Narrow"/>
      <family val="2"/>
    </font>
    <font>
      <sz val="9"/>
      <color rgb="FF00A87C"/>
      <name val="Arial Narrow"/>
      <family val="2"/>
    </font>
    <font>
      <sz val="8"/>
      <color rgb="FF00A87C"/>
      <name val="Arial Narrow"/>
      <family val="2"/>
    </font>
    <font>
      <sz val="8"/>
      <color rgb="FF00A87C"/>
      <name val="Calibri"/>
      <family val="2"/>
      <scheme val="minor"/>
    </font>
    <font>
      <b/>
      <sz val="8"/>
      <color rgb="FF00A87C"/>
      <name val="Arial Narrow"/>
      <family val="2"/>
    </font>
    <font>
      <sz val="9"/>
      <color rgb="FF00A87C"/>
      <name val="Calibri"/>
      <family val="2"/>
      <scheme val="minor"/>
    </font>
    <font>
      <b/>
      <sz val="10"/>
      <color rgb="FF00A87C"/>
      <name val="Arial Narrow"/>
      <family val="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CC99"/>
        <bgColor rgb="FFFFCC99"/>
      </patternFill>
    </fill>
    <fill>
      <patternFill patternType="solid">
        <fgColor rgb="FFFF9966"/>
        <bgColor rgb="FFFF9966"/>
      </patternFill>
    </fill>
    <fill>
      <patternFill patternType="solid">
        <fgColor rgb="FF9999FF"/>
        <bgColor rgb="FF9999FF"/>
      </patternFill>
    </fill>
    <fill>
      <patternFill patternType="solid">
        <fgColor theme="0" tint="-0.14999847407452621"/>
        <bgColor indexed="64"/>
      </patternFill>
    </fill>
    <fill>
      <patternFill patternType="solid">
        <fgColor theme="0"/>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8">
    <xf numFmtId="0" fontId="0" fillId="0" borderId="0"/>
    <xf numFmtId="0" fontId="1" fillId="0" borderId="0"/>
    <xf numFmtId="0" fontId="22" fillId="0" borderId="0"/>
    <xf numFmtId="0" fontId="28" fillId="0" borderId="0"/>
    <xf numFmtId="0" fontId="29" fillId="0" borderId="0">
      <alignment horizontal="center"/>
    </xf>
    <xf numFmtId="0" fontId="29" fillId="0" borderId="0">
      <alignment horizontal="center" textRotation="90"/>
    </xf>
    <xf numFmtId="0" fontId="30" fillId="0" borderId="0"/>
    <xf numFmtId="170" fontId="30" fillId="0" borderId="0"/>
  </cellStyleXfs>
  <cellXfs count="975">
    <xf numFmtId="0" fontId="0" fillId="0" borderId="0" xfId="0"/>
    <xf numFmtId="0" fontId="2" fillId="0" borderId="0" xfId="0" applyFont="1" applyAlignment="1" applyProtection="1">
      <alignment vertical="center"/>
    </xf>
    <xf numFmtId="0" fontId="2" fillId="0" borderId="0" xfId="0" applyFont="1" applyFill="1" applyBorder="1" applyAlignment="1" applyProtection="1">
      <alignment vertical="center" wrapText="1"/>
    </xf>
    <xf numFmtId="0" fontId="2" fillId="0" borderId="0" xfId="0" applyFont="1" applyAlignment="1" applyProtection="1">
      <alignment horizontal="center"/>
    </xf>
    <xf numFmtId="0" fontId="2" fillId="0" borderId="0" xfId="0" applyFont="1" applyAlignment="1" applyProtection="1"/>
    <xf numFmtId="0" fontId="2" fillId="0" borderId="0" xfId="0" applyFont="1" applyFill="1" applyAlignment="1" applyProtection="1">
      <alignment vertical="center"/>
    </xf>
    <xf numFmtId="0" fontId="6" fillId="0" borderId="0" xfId="0" applyFont="1" applyAlignment="1" applyProtection="1">
      <alignment vertical="center"/>
    </xf>
    <xf numFmtId="0" fontId="2" fillId="0" borderId="0" xfId="0" applyFont="1" applyBorder="1" applyAlignment="1" applyProtection="1">
      <alignment vertical="center"/>
    </xf>
    <xf numFmtId="0" fontId="2" fillId="0" borderId="10" xfId="0" applyFont="1" applyFill="1" applyBorder="1" applyAlignment="1" applyProtection="1">
      <alignment vertical="center" wrapText="1"/>
    </xf>
    <xf numFmtId="0" fontId="2" fillId="0" borderId="0" xfId="0" applyFont="1" applyFill="1" applyBorder="1" applyAlignment="1" applyProtection="1">
      <alignment horizontal="justify" vertical="center" wrapText="1"/>
    </xf>
    <xf numFmtId="0" fontId="3" fillId="0" borderId="0" xfId="0" applyFont="1" applyFill="1" applyAlignment="1" applyProtection="1">
      <alignment horizontal="center" vertical="center"/>
    </xf>
    <xf numFmtId="164" fontId="2" fillId="0" borderId="0" xfId="0" applyNumberFormat="1" applyFont="1" applyFill="1" applyBorder="1" applyAlignment="1" applyProtection="1">
      <alignment horizontal="center" vertical="center" wrapText="1"/>
    </xf>
    <xf numFmtId="0" fontId="2" fillId="0" borderId="12" xfId="0" applyFont="1" applyBorder="1" applyAlignment="1" applyProtection="1">
      <alignment vertical="center"/>
    </xf>
    <xf numFmtId="0" fontId="2" fillId="0" borderId="11" xfId="0" applyFont="1" applyBorder="1" applyAlignment="1" applyProtection="1">
      <alignment vertical="center"/>
    </xf>
    <xf numFmtId="0" fontId="3" fillId="0" borderId="0" xfId="0" applyFont="1" applyAlignment="1" applyProtection="1">
      <alignment vertical="center"/>
    </xf>
    <xf numFmtId="0" fontId="2" fillId="0" borderId="0" xfId="0" applyFont="1" applyFill="1" applyAlignment="1" applyProtection="1">
      <alignment vertical="center" wrapText="1"/>
    </xf>
    <xf numFmtId="0" fontId="2" fillId="0" borderId="10" xfId="0" applyFont="1" applyBorder="1" applyAlignment="1" applyProtection="1">
      <alignment vertical="center"/>
    </xf>
    <xf numFmtId="0" fontId="5" fillId="0" borderId="12"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0" xfId="0" applyFont="1" applyFill="1" applyAlignment="1" applyProtection="1">
      <alignment horizontal="center" vertical="center"/>
    </xf>
    <xf numFmtId="0" fontId="2" fillId="0" borderId="4"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2" fillId="0" borderId="5" xfId="0" applyFont="1" applyFill="1" applyBorder="1" applyAlignment="1" applyProtection="1">
      <alignment vertical="center"/>
    </xf>
    <xf numFmtId="0" fontId="2" fillId="0" borderId="11"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2" xfId="0" applyFont="1" applyFill="1" applyBorder="1" applyAlignment="1" applyProtection="1">
      <alignment vertical="center"/>
    </xf>
    <xf numFmtId="0" fontId="3" fillId="0" borderId="13" xfId="0" applyFont="1" applyFill="1" applyBorder="1" applyAlignment="1" applyProtection="1">
      <alignment vertical="center"/>
    </xf>
    <xf numFmtId="0" fontId="2" fillId="0" borderId="12"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5"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10"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8" xfId="0" applyFont="1" applyFill="1" applyBorder="1" applyAlignment="1" applyProtection="1">
      <alignment vertical="center"/>
    </xf>
    <xf numFmtId="0" fontId="2" fillId="0" borderId="0" xfId="0" applyFont="1" applyFill="1" applyAlignment="1" applyProtection="1"/>
    <xf numFmtId="0" fontId="2" fillId="0" borderId="0" xfId="0" applyFont="1" applyBorder="1" applyAlignment="1" applyProtection="1">
      <alignment horizontal="center" vertical="center"/>
    </xf>
    <xf numFmtId="0" fontId="2" fillId="0" borderId="5" xfId="0" applyFont="1" applyBorder="1" applyAlignment="1" applyProtection="1">
      <alignment vertical="center"/>
    </xf>
    <xf numFmtId="0" fontId="2" fillId="0" borderId="11" xfId="0" applyFont="1" applyBorder="1" applyAlignment="1" applyProtection="1">
      <alignment horizontal="center" vertical="center"/>
    </xf>
    <xf numFmtId="0" fontId="22" fillId="0" borderId="0" xfId="2" applyAlignment="1">
      <alignment horizontal="center"/>
    </xf>
    <xf numFmtId="0" fontId="22" fillId="0" borderId="0" xfId="2"/>
    <xf numFmtId="0" fontId="22" fillId="7" borderId="0" xfId="2" applyFill="1" applyAlignment="1">
      <alignment horizontal="center"/>
    </xf>
    <xf numFmtId="0" fontId="24" fillId="0" borderId="0" xfId="0" applyFont="1" applyFill="1" applyAlignment="1" applyProtection="1">
      <alignment horizontal="center" vertical="center"/>
    </xf>
    <xf numFmtId="0" fontId="23" fillId="0" borderId="0" xfId="0" applyFont="1" applyAlignment="1" applyProtection="1">
      <alignment horizontal="center" vertical="center"/>
    </xf>
    <xf numFmtId="0" fontId="24" fillId="0" borderId="0" xfId="0" applyFont="1" applyAlignment="1" applyProtection="1">
      <alignment horizontal="center" vertical="center"/>
    </xf>
    <xf numFmtId="0" fontId="24" fillId="0" borderId="0" xfId="0" applyFont="1" applyAlignment="1" applyProtection="1">
      <alignment vertical="center"/>
    </xf>
    <xf numFmtId="0" fontId="23" fillId="0" borderId="0" xfId="0" applyFont="1" applyFill="1" applyAlignment="1" applyProtection="1">
      <alignment vertical="center" wrapText="1"/>
    </xf>
    <xf numFmtId="0" fontId="23" fillId="0" borderId="0" xfId="0" applyFont="1" applyFill="1" applyAlignment="1" applyProtection="1">
      <alignment horizontal="center" vertical="center"/>
    </xf>
    <xf numFmtId="0" fontId="24" fillId="0" borderId="0" xfId="0" applyFont="1" applyFill="1" applyAlignment="1" applyProtection="1">
      <alignment vertical="center"/>
    </xf>
    <xf numFmtId="0" fontId="24" fillId="0" borderId="0" xfId="0" applyFont="1" applyFill="1" applyBorder="1" applyAlignment="1" applyProtection="1">
      <alignment vertical="center" wrapText="1"/>
    </xf>
    <xf numFmtId="0" fontId="23" fillId="0" borderId="0" xfId="0" applyFont="1" applyAlignment="1" applyProtection="1">
      <alignment vertical="center"/>
    </xf>
    <xf numFmtId="0" fontId="11" fillId="3" borderId="4" xfId="0" applyFont="1" applyFill="1" applyBorder="1" applyAlignment="1" applyProtection="1">
      <alignment horizontal="center" vertical="center" wrapText="1"/>
    </xf>
    <xf numFmtId="0" fontId="2" fillId="0" borderId="0" xfId="0" applyFont="1" applyFill="1" applyBorder="1" applyAlignment="1" applyProtection="1">
      <alignment horizontal="center"/>
    </xf>
    <xf numFmtId="0" fontId="17" fillId="0" borderId="0" xfId="1" applyFont="1" applyFill="1" applyBorder="1" applyAlignment="1" applyProtection="1">
      <alignment vertical="center"/>
    </xf>
    <xf numFmtId="0" fontId="17" fillId="0" borderId="0" xfId="1" applyFont="1" applyFill="1" applyBorder="1" applyAlignment="1" applyProtection="1">
      <alignment horizontal="right" vertical="center"/>
    </xf>
    <xf numFmtId="0" fontId="17" fillId="0" borderId="9" xfId="1" applyFont="1" applyFill="1" applyBorder="1" applyAlignment="1" applyProtection="1">
      <alignment vertical="center"/>
    </xf>
    <xf numFmtId="0" fontId="13" fillId="3" borderId="0" xfId="1" applyFont="1" applyFill="1" applyBorder="1" applyAlignment="1" applyProtection="1">
      <alignment horizontal="right" vertical="center"/>
    </xf>
    <xf numFmtId="169" fontId="13" fillId="3" borderId="0" xfId="1" applyNumberFormat="1" applyFont="1" applyFill="1" applyBorder="1" applyAlignment="1" applyProtection="1">
      <alignment vertical="center"/>
    </xf>
    <xf numFmtId="169" fontId="13" fillId="3" borderId="0" xfId="1" applyNumberFormat="1" applyFont="1" applyFill="1" applyBorder="1" applyAlignment="1" applyProtection="1">
      <alignment horizontal="right" vertical="center"/>
    </xf>
    <xf numFmtId="0" fontId="6" fillId="0" borderId="0" xfId="0" applyFont="1" applyFill="1" applyAlignment="1" applyProtection="1">
      <alignment horizontal="center" vertical="center"/>
    </xf>
    <xf numFmtId="0" fontId="17" fillId="0" borderId="10" xfId="1" applyFont="1" applyFill="1" applyBorder="1" applyAlignment="1" applyProtection="1">
      <alignment horizontal="left" vertical="center"/>
    </xf>
    <xf numFmtId="0" fontId="17" fillId="0" borderId="0" xfId="1" applyFont="1" applyFill="1" applyBorder="1" applyAlignment="1" applyProtection="1">
      <alignment horizontal="center" vertical="center"/>
    </xf>
    <xf numFmtId="0" fontId="17" fillId="0" borderId="9" xfId="1" applyFont="1" applyFill="1" applyBorder="1" applyAlignment="1" applyProtection="1">
      <alignment horizontal="right" vertical="center"/>
    </xf>
    <xf numFmtId="0" fontId="17" fillId="0" borderId="34" xfId="1" applyFont="1" applyFill="1" applyBorder="1" applyAlignment="1" applyProtection="1">
      <alignment horizontal="left" vertical="center"/>
    </xf>
    <xf numFmtId="0" fontId="17" fillId="0" borderId="35" xfId="1" applyFont="1" applyFill="1" applyBorder="1" applyAlignment="1" applyProtection="1">
      <alignment horizontal="center" vertical="center"/>
    </xf>
    <xf numFmtId="0" fontId="17" fillId="0" borderId="35" xfId="1" applyFont="1" applyFill="1" applyBorder="1" applyAlignment="1" applyProtection="1">
      <alignment horizontal="right" vertical="center"/>
    </xf>
    <xf numFmtId="0" fontId="17" fillId="0" borderId="36" xfId="1" applyFont="1" applyFill="1" applyBorder="1" applyAlignment="1" applyProtection="1">
      <alignment horizontal="right" vertical="center"/>
    </xf>
    <xf numFmtId="0" fontId="17" fillId="0" borderId="10" xfId="1" applyFont="1" applyFill="1" applyBorder="1" applyAlignment="1" applyProtection="1">
      <alignment vertical="center"/>
    </xf>
    <xf numFmtId="0" fontId="13" fillId="0" borderId="0" xfId="1" applyFont="1" applyFill="1" applyBorder="1" applyAlignment="1" applyProtection="1">
      <alignment horizontal="center" vertical="center"/>
    </xf>
    <xf numFmtId="3" fontId="13" fillId="6" borderId="0" xfId="1" applyNumberFormat="1" applyFont="1" applyFill="1" applyBorder="1" applyAlignment="1" applyProtection="1">
      <alignment vertical="center"/>
    </xf>
    <xf numFmtId="2" fontId="13" fillId="6" borderId="0" xfId="1" applyNumberFormat="1" applyFont="1" applyFill="1" applyBorder="1" applyAlignment="1" applyProtection="1">
      <alignment vertical="center"/>
    </xf>
    <xf numFmtId="164" fontId="13" fillId="6" borderId="9" xfId="1" applyNumberFormat="1" applyFont="1" applyFill="1" applyBorder="1" applyAlignment="1" applyProtection="1">
      <alignment vertical="center"/>
    </xf>
    <xf numFmtId="0" fontId="17" fillId="0" borderId="34" xfId="1" applyFont="1" applyFill="1" applyBorder="1" applyAlignment="1" applyProtection="1">
      <alignment vertical="center"/>
    </xf>
    <xf numFmtId="0" fontId="13" fillId="0" borderId="35" xfId="1" applyFont="1" applyFill="1" applyBorder="1" applyAlignment="1" applyProtection="1">
      <alignment horizontal="center" vertical="center"/>
    </xf>
    <xf numFmtId="3" fontId="13" fillId="6" borderId="35" xfId="1" applyNumberFormat="1" applyFont="1" applyFill="1" applyBorder="1" applyAlignment="1" applyProtection="1">
      <alignment vertical="center"/>
    </xf>
    <xf numFmtId="2" fontId="13" fillId="6" borderId="35" xfId="1" applyNumberFormat="1" applyFont="1" applyFill="1" applyBorder="1" applyAlignment="1" applyProtection="1">
      <alignment vertical="center"/>
    </xf>
    <xf numFmtId="164" fontId="13" fillId="6" borderId="36" xfId="1" applyNumberFormat="1" applyFont="1" applyFill="1" applyBorder="1" applyAlignment="1" applyProtection="1">
      <alignment vertical="center"/>
    </xf>
    <xf numFmtId="3" fontId="17" fillId="0" borderId="0" xfId="1" applyNumberFormat="1" applyFont="1" applyFill="1" applyBorder="1" applyAlignment="1" applyProtection="1">
      <alignment vertical="center"/>
    </xf>
    <xf numFmtId="1" fontId="13" fillId="0" borderId="0" xfId="1" applyNumberFormat="1" applyFont="1" applyFill="1" applyBorder="1" applyAlignment="1" applyProtection="1">
      <alignment vertical="center"/>
    </xf>
    <xf numFmtId="3" fontId="13" fillId="0" borderId="9" xfId="1" applyNumberFormat="1" applyFont="1" applyFill="1" applyBorder="1" applyAlignment="1" applyProtection="1">
      <alignment vertical="center"/>
    </xf>
    <xf numFmtId="3" fontId="21" fillId="0" borderId="0" xfId="1" applyNumberFormat="1" applyFont="1" applyFill="1" applyBorder="1" applyAlignment="1" applyProtection="1">
      <alignment vertical="center"/>
    </xf>
    <xf numFmtId="0" fontId="21" fillId="0" borderId="0" xfId="1" applyFont="1" applyFill="1" applyBorder="1" applyAlignment="1" applyProtection="1">
      <alignment horizontal="right" vertical="center"/>
    </xf>
    <xf numFmtId="0" fontId="21" fillId="0" borderId="0" xfId="1" applyFont="1" applyFill="1" applyBorder="1" applyAlignment="1" applyProtection="1">
      <alignment vertical="center"/>
    </xf>
    <xf numFmtId="0" fontId="21" fillId="0" borderId="9" xfId="1" applyFont="1" applyFill="1" applyBorder="1" applyAlignment="1" applyProtection="1">
      <alignment vertical="center"/>
    </xf>
    <xf numFmtId="0" fontId="17" fillId="0" borderId="11" xfId="1" applyFont="1" applyBorder="1" applyAlignment="1" applyProtection="1">
      <alignment horizontal="right" vertical="center"/>
    </xf>
    <xf numFmtId="0" fontId="17" fillId="0" borderId="7" xfId="1" applyFont="1" applyBorder="1" applyAlignment="1" applyProtection="1">
      <alignment horizontal="right" vertical="center"/>
    </xf>
    <xf numFmtId="0" fontId="2" fillId="3" borderId="4" xfId="0" applyFont="1" applyFill="1" applyBorder="1" applyAlignment="1" applyProtection="1">
      <alignment horizontal="center" vertical="center" wrapText="1"/>
    </xf>
    <xf numFmtId="0" fontId="6" fillId="0" borderId="0" xfId="0" applyFont="1" applyAlignment="1" applyProtection="1">
      <alignment horizontal="center" vertical="center"/>
    </xf>
    <xf numFmtId="0" fontId="25" fillId="0" borderId="0" xfId="0" applyFont="1"/>
    <xf numFmtId="49" fontId="25" fillId="9" borderId="41" xfId="0" applyNumberFormat="1" applyFont="1" applyFill="1" applyBorder="1" applyAlignment="1">
      <alignment horizontal="center"/>
    </xf>
    <xf numFmtId="49" fontId="25" fillId="8" borderId="42" xfId="0" applyNumberFormat="1" applyFont="1" applyFill="1" applyBorder="1" applyAlignment="1">
      <alignment horizontal="center"/>
    </xf>
    <xf numFmtId="49" fontId="25" fillId="10" borderId="41" xfId="0" applyNumberFormat="1" applyFont="1" applyFill="1" applyBorder="1" applyAlignment="1">
      <alignment horizontal="center"/>
    </xf>
    <xf numFmtId="164" fontId="0" fillId="0" borderId="45" xfId="0" applyNumberFormat="1" applyFont="1" applyBorder="1" applyAlignment="1">
      <alignment horizontal="center"/>
    </xf>
    <xf numFmtId="164" fontId="0" fillId="0" borderId="0" xfId="0" applyNumberFormat="1" applyFont="1" applyAlignment="1">
      <alignment horizontal="center"/>
    </xf>
    <xf numFmtId="164" fontId="0" fillId="0" borderId="46" xfId="0" applyNumberFormat="1" applyFont="1" applyBorder="1" applyAlignment="1">
      <alignment horizontal="center"/>
    </xf>
    <xf numFmtId="164" fontId="0" fillId="0" borderId="47" xfId="0" applyNumberFormat="1" applyFont="1" applyBorder="1" applyAlignment="1">
      <alignment horizontal="center"/>
    </xf>
    <xf numFmtId="164" fontId="0" fillId="0" borderId="45" xfId="0" applyNumberFormat="1" applyFont="1" applyFill="1" applyBorder="1" applyAlignment="1">
      <alignment horizontal="center"/>
    </xf>
    <xf numFmtId="164" fontId="0" fillId="0" borderId="0" xfId="0" applyNumberFormat="1" applyFont="1" applyFill="1" applyAlignment="1">
      <alignment horizontal="center"/>
    </xf>
    <xf numFmtId="164" fontId="0" fillId="0" borderId="46" xfId="0" applyNumberFormat="1" applyFont="1" applyFill="1" applyBorder="1" applyAlignment="1">
      <alignment horizontal="center"/>
    </xf>
    <xf numFmtId="164" fontId="0" fillId="0" borderId="47" xfId="0" applyNumberFormat="1" applyFont="1" applyFill="1" applyBorder="1" applyAlignment="1">
      <alignment horizontal="center"/>
    </xf>
    <xf numFmtId="164" fontId="0" fillId="0" borderId="42" xfId="0" applyNumberFormat="1" applyFont="1" applyBorder="1" applyAlignment="1">
      <alignment horizontal="center"/>
    </xf>
    <xf numFmtId="164" fontId="0" fillId="0" borderId="43" xfId="0" applyNumberFormat="1" applyFont="1" applyBorder="1" applyAlignment="1">
      <alignment horizontal="center"/>
    </xf>
    <xf numFmtId="164" fontId="0" fillId="0" borderId="44" xfId="0" applyNumberFormat="1" applyFont="1" applyBorder="1" applyAlignment="1">
      <alignment horizontal="center"/>
    </xf>
    <xf numFmtId="164" fontId="0" fillId="0" borderId="48" xfId="0" applyNumberFormat="1" applyFont="1" applyBorder="1" applyAlignment="1">
      <alignment horizontal="center"/>
    </xf>
    <xf numFmtId="1" fontId="26" fillId="0" borderId="0" xfId="0" applyNumberFormat="1" applyFont="1" applyFill="1" applyBorder="1" applyAlignment="1">
      <alignment horizontal="center"/>
    </xf>
    <xf numFmtId="0" fontId="26" fillId="0" borderId="0" xfId="0" applyFont="1" applyAlignment="1">
      <alignment horizontal="center"/>
    </xf>
    <xf numFmtId="164" fontId="22" fillId="0" borderId="0" xfId="2" applyNumberFormat="1"/>
    <xf numFmtId="3" fontId="25" fillId="9" borderId="45" xfId="0" applyNumberFormat="1" applyFont="1" applyFill="1" applyBorder="1" applyAlignment="1">
      <alignment horizontal="center"/>
    </xf>
    <xf numFmtId="3" fontId="25" fillId="9" borderId="42" xfId="0" applyNumberFormat="1" applyFont="1" applyFill="1" applyBorder="1" applyAlignment="1">
      <alignment horizontal="center"/>
    </xf>
    <xf numFmtId="1" fontId="22" fillId="0" borderId="0" xfId="2" applyNumberFormat="1" applyAlignment="1">
      <alignment horizontal="center"/>
    </xf>
    <xf numFmtId="164" fontId="22" fillId="2" borderId="0" xfId="2" applyNumberFormat="1" applyFill="1"/>
    <xf numFmtId="164" fontId="27" fillId="0" borderId="0" xfId="2" applyNumberFormat="1" applyFont="1" applyFill="1" applyAlignment="1">
      <alignment horizontal="center"/>
    </xf>
    <xf numFmtId="2" fontId="27" fillId="0" borderId="0" xfId="2" applyNumberFormat="1" applyFont="1" applyAlignment="1">
      <alignment horizontal="center"/>
    </xf>
    <xf numFmtId="0" fontId="28" fillId="0" borderId="0" xfId="3"/>
    <xf numFmtId="0" fontId="25" fillId="0" borderId="0" xfId="3" applyFont="1"/>
    <xf numFmtId="49" fontId="25" fillId="9" borderId="41" xfId="3" applyNumberFormat="1" applyFont="1" applyFill="1" applyBorder="1" applyAlignment="1">
      <alignment horizontal="center"/>
    </xf>
    <xf numFmtId="49" fontId="25" fillId="10" borderId="41" xfId="3" applyNumberFormat="1" applyFont="1" applyFill="1" applyBorder="1" applyAlignment="1">
      <alignment horizontal="center"/>
    </xf>
    <xf numFmtId="164" fontId="28" fillId="0" borderId="45" xfId="3" applyNumberFormat="1" applyFont="1" applyBorder="1" applyAlignment="1">
      <alignment horizontal="center"/>
    </xf>
    <xf numFmtId="164" fontId="28" fillId="0" borderId="0" xfId="3" applyNumberFormat="1" applyFont="1" applyAlignment="1">
      <alignment horizontal="center"/>
    </xf>
    <xf numFmtId="164" fontId="28" fillId="0" borderId="46" xfId="3" applyNumberFormat="1" applyFont="1" applyBorder="1" applyAlignment="1">
      <alignment horizontal="center"/>
    </xf>
    <xf numFmtId="164" fontId="28" fillId="0" borderId="47" xfId="3" applyNumberFormat="1" applyFont="1" applyBorder="1" applyAlignment="1">
      <alignment horizontal="center"/>
    </xf>
    <xf numFmtId="164" fontId="28" fillId="0" borderId="45" xfId="3" applyNumberFormat="1" applyFont="1" applyFill="1" applyBorder="1" applyAlignment="1">
      <alignment horizontal="center"/>
    </xf>
    <xf numFmtId="164" fontId="28" fillId="0" borderId="0" xfId="3" applyNumberFormat="1" applyFont="1" applyFill="1" applyAlignment="1">
      <alignment horizontal="center"/>
    </xf>
    <xf numFmtId="164" fontId="28" fillId="0" borderId="46" xfId="3" applyNumberFormat="1" applyFont="1" applyFill="1" applyBorder="1" applyAlignment="1">
      <alignment horizontal="center"/>
    </xf>
    <xf numFmtId="164" fontId="28" fillId="0" borderId="47" xfId="3" applyNumberFormat="1" applyFont="1" applyFill="1" applyBorder="1" applyAlignment="1">
      <alignment horizontal="center"/>
    </xf>
    <xf numFmtId="164" fontId="28" fillId="0" borderId="42" xfId="3" applyNumberFormat="1" applyFont="1" applyBorder="1" applyAlignment="1">
      <alignment horizontal="center"/>
    </xf>
    <xf numFmtId="164" fontId="28" fillId="0" borderId="43" xfId="3" applyNumberFormat="1" applyFont="1" applyBorder="1" applyAlignment="1">
      <alignment horizontal="center"/>
    </xf>
    <xf numFmtId="164" fontId="28" fillId="0" borderId="44" xfId="3" applyNumberFormat="1" applyFont="1" applyBorder="1" applyAlignment="1">
      <alignment horizontal="center"/>
    </xf>
    <xf numFmtId="164" fontId="28" fillId="0" borderId="48" xfId="3" applyNumberFormat="1" applyFont="1" applyBorder="1" applyAlignment="1">
      <alignment horizontal="center"/>
    </xf>
    <xf numFmtId="0" fontId="31" fillId="0" borderId="0" xfId="3" applyFont="1" applyAlignment="1">
      <alignment horizontal="center"/>
    </xf>
    <xf numFmtId="0" fontId="25" fillId="0" borderId="0" xfId="3" applyFont="1" applyAlignment="1">
      <alignment horizontal="center"/>
    </xf>
    <xf numFmtId="0" fontId="28" fillId="0" borderId="0" xfId="3"/>
    <xf numFmtId="0" fontId="25" fillId="0" borderId="0" xfId="3" applyFont="1"/>
    <xf numFmtId="49" fontId="25" fillId="9" borderId="41" xfId="3" applyNumberFormat="1" applyFont="1" applyFill="1" applyBorder="1" applyAlignment="1">
      <alignment horizontal="center"/>
    </xf>
    <xf numFmtId="49" fontId="25" fillId="10" borderId="41" xfId="3" applyNumberFormat="1" applyFont="1" applyFill="1" applyBorder="1" applyAlignment="1">
      <alignment horizontal="center"/>
    </xf>
    <xf numFmtId="164" fontId="28" fillId="0" borderId="45" xfId="3" applyNumberFormat="1" applyFont="1" applyBorder="1" applyAlignment="1">
      <alignment horizontal="center"/>
    </xf>
    <xf numFmtId="164" fontId="28" fillId="0" borderId="0" xfId="3" applyNumberFormat="1" applyFont="1" applyAlignment="1">
      <alignment horizontal="center"/>
    </xf>
    <xf numFmtId="164" fontId="28" fillId="0" borderId="46" xfId="3" applyNumberFormat="1" applyFont="1" applyBorder="1" applyAlignment="1">
      <alignment horizontal="center"/>
    </xf>
    <xf numFmtId="164" fontId="28" fillId="0" borderId="47" xfId="3" applyNumberFormat="1" applyFont="1" applyBorder="1" applyAlignment="1">
      <alignment horizontal="center"/>
    </xf>
    <xf numFmtId="164" fontId="28" fillId="0" borderId="45" xfId="3" applyNumberFormat="1" applyFont="1" applyFill="1" applyBorder="1" applyAlignment="1">
      <alignment horizontal="center"/>
    </xf>
    <xf numFmtId="164" fontId="28" fillId="0" borderId="0" xfId="3" applyNumberFormat="1" applyFont="1" applyFill="1" applyAlignment="1">
      <alignment horizontal="center"/>
    </xf>
    <xf numFmtId="164" fontId="28" fillId="0" borderId="46" xfId="3" applyNumberFormat="1" applyFont="1" applyFill="1" applyBorder="1" applyAlignment="1">
      <alignment horizontal="center"/>
    </xf>
    <xf numFmtId="164" fontId="28" fillId="0" borderId="47" xfId="3" applyNumberFormat="1" applyFont="1" applyFill="1" applyBorder="1" applyAlignment="1">
      <alignment horizontal="center"/>
    </xf>
    <xf numFmtId="164" fontId="28" fillId="0" borderId="42" xfId="3" applyNumberFormat="1" applyFont="1" applyBorder="1" applyAlignment="1">
      <alignment horizontal="center"/>
    </xf>
    <xf numFmtId="164" fontId="28" fillId="0" borderId="43" xfId="3" applyNumberFormat="1" applyFont="1" applyBorder="1" applyAlignment="1">
      <alignment horizontal="center"/>
    </xf>
    <xf numFmtId="164" fontId="28" fillId="0" borderId="44" xfId="3" applyNumberFormat="1" applyFont="1" applyBorder="1" applyAlignment="1">
      <alignment horizontal="center"/>
    </xf>
    <xf numFmtId="164" fontId="28" fillId="0" borderId="48" xfId="3" applyNumberFormat="1" applyFont="1" applyBorder="1" applyAlignment="1">
      <alignment horizontal="center"/>
    </xf>
    <xf numFmtId="1" fontId="25" fillId="0" borderId="0" xfId="3" applyNumberFormat="1" applyFont="1" applyFill="1" applyBorder="1" applyAlignment="1">
      <alignment horizontal="center"/>
    </xf>
    <xf numFmtId="0" fontId="28" fillId="0" borderId="0" xfId="3"/>
    <xf numFmtId="0" fontId="25" fillId="0" borderId="0" xfId="3" applyFont="1"/>
    <xf numFmtId="49" fontId="25" fillId="9" borderId="41" xfId="3" applyNumberFormat="1" applyFont="1" applyFill="1" applyBorder="1" applyAlignment="1">
      <alignment horizontal="center"/>
    </xf>
    <xf numFmtId="49" fontId="25" fillId="10" borderId="41" xfId="3" applyNumberFormat="1" applyFont="1" applyFill="1" applyBorder="1" applyAlignment="1">
      <alignment horizontal="center"/>
    </xf>
    <xf numFmtId="164" fontId="28" fillId="0" borderId="45" xfId="3" applyNumberFormat="1" applyFont="1" applyBorder="1" applyAlignment="1">
      <alignment horizontal="center"/>
    </xf>
    <xf numFmtId="164" fontId="28" fillId="0" borderId="0" xfId="3" applyNumberFormat="1" applyFont="1" applyAlignment="1">
      <alignment horizontal="center"/>
    </xf>
    <xf numFmtId="164" fontId="28" fillId="0" borderId="46" xfId="3" applyNumberFormat="1" applyFont="1" applyBorder="1" applyAlignment="1">
      <alignment horizontal="center"/>
    </xf>
    <xf numFmtId="164" fontId="28" fillId="0" borderId="47" xfId="3" applyNumberFormat="1" applyFont="1" applyBorder="1" applyAlignment="1">
      <alignment horizontal="center"/>
    </xf>
    <xf numFmtId="164" fontId="28" fillId="0" borderId="45" xfId="3" applyNumberFormat="1" applyFont="1" applyFill="1" applyBorder="1" applyAlignment="1">
      <alignment horizontal="center"/>
    </xf>
    <xf numFmtId="164" fontId="28" fillId="0" borderId="0" xfId="3" applyNumberFormat="1" applyFont="1" applyFill="1" applyAlignment="1">
      <alignment horizontal="center"/>
    </xf>
    <xf numFmtId="164" fontId="28" fillId="0" borderId="46" xfId="3" applyNumberFormat="1" applyFont="1" applyFill="1" applyBorder="1" applyAlignment="1">
      <alignment horizontal="center"/>
    </xf>
    <xf numFmtId="164" fontId="28" fillId="0" borderId="47" xfId="3" applyNumberFormat="1" applyFont="1" applyFill="1" applyBorder="1" applyAlignment="1">
      <alignment horizontal="center"/>
    </xf>
    <xf numFmtId="164" fontId="28" fillId="0" borderId="42" xfId="3" applyNumberFormat="1" applyFont="1" applyBorder="1" applyAlignment="1">
      <alignment horizontal="center"/>
    </xf>
    <xf numFmtId="164" fontId="28" fillId="0" borderId="43" xfId="3" applyNumberFormat="1" applyFont="1" applyBorder="1" applyAlignment="1">
      <alignment horizontal="center"/>
    </xf>
    <xf numFmtId="164" fontId="28" fillId="0" borderId="44" xfId="3" applyNumberFormat="1" applyFont="1" applyBorder="1" applyAlignment="1">
      <alignment horizontal="center"/>
    </xf>
    <xf numFmtId="164" fontId="28" fillId="0" borderId="48" xfId="3" applyNumberFormat="1" applyFont="1" applyBorder="1" applyAlignment="1">
      <alignment horizontal="center"/>
    </xf>
    <xf numFmtId="1" fontId="31" fillId="0" borderId="0" xfId="3" applyNumberFormat="1" applyFont="1" applyFill="1" applyBorder="1" applyAlignment="1">
      <alignment horizontal="center"/>
    </xf>
    <xf numFmtId="0" fontId="28" fillId="0" borderId="0" xfId="3"/>
    <xf numFmtId="0" fontId="25" fillId="0" borderId="0" xfId="3" applyFont="1"/>
    <xf numFmtId="49" fontId="25" fillId="9" borderId="41" xfId="3" applyNumberFormat="1" applyFont="1" applyFill="1" applyBorder="1" applyAlignment="1">
      <alignment horizontal="center"/>
    </xf>
    <xf numFmtId="49" fontId="25" fillId="10" borderId="41" xfId="3" applyNumberFormat="1" applyFont="1" applyFill="1" applyBorder="1" applyAlignment="1">
      <alignment horizontal="center"/>
    </xf>
    <xf numFmtId="164" fontId="28" fillId="0" borderId="45" xfId="3" applyNumberFormat="1" applyFont="1" applyBorder="1" applyAlignment="1">
      <alignment horizontal="center"/>
    </xf>
    <xf numFmtId="164" fontId="28" fillId="0" borderId="0" xfId="3" applyNumberFormat="1" applyFont="1" applyAlignment="1">
      <alignment horizontal="center"/>
    </xf>
    <xf numFmtId="164" fontId="28" fillId="0" borderId="46" xfId="3" applyNumberFormat="1" applyFont="1" applyBorder="1" applyAlignment="1">
      <alignment horizontal="center"/>
    </xf>
    <xf numFmtId="164" fontId="28" fillId="0" borderId="47" xfId="3" applyNumberFormat="1" applyFont="1" applyBorder="1" applyAlignment="1">
      <alignment horizontal="center"/>
    </xf>
    <xf numFmtId="164" fontId="28" fillId="0" borderId="45" xfId="3" applyNumberFormat="1" applyFont="1" applyFill="1" applyBorder="1" applyAlignment="1">
      <alignment horizontal="center"/>
    </xf>
    <xf numFmtId="164" fontId="28" fillId="0" borderId="0" xfId="3" applyNumberFormat="1" applyFont="1" applyFill="1" applyAlignment="1">
      <alignment horizontal="center"/>
    </xf>
    <xf numFmtId="164" fontId="28" fillId="0" borderId="46" xfId="3" applyNumberFormat="1" applyFont="1" applyFill="1" applyBorder="1" applyAlignment="1">
      <alignment horizontal="center"/>
    </xf>
    <xf numFmtId="164" fontId="28" fillId="0" borderId="47" xfId="3" applyNumberFormat="1" applyFont="1" applyFill="1" applyBorder="1" applyAlignment="1">
      <alignment horizontal="center"/>
    </xf>
    <xf numFmtId="164" fontId="28" fillId="0" borderId="42" xfId="3" applyNumberFormat="1" applyFont="1" applyBorder="1" applyAlignment="1">
      <alignment horizontal="center"/>
    </xf>
    <xf numFmtId="164" fontId="28" fillId="0" borderId="43" xfId="3" applyNumberFormat="1" applyFont="1" applyBorder="1" applyAlignment="1">
      <alignment horizontal="center"/>
    </xf>
    <xf numFmtId="164" fontId="28" fillId="0" borderId="44" xfId="3" applyNumberFormat="1" applyFont="1" applyBorder="1" applyAlignment="1">
      <alignment horizontal="center"/>
    </xf>
    <xf numFmtId="164" fontId="28" fillId="0" borderId="48" xfId="3" applyNumberFormat="1" applyFont="1" applyBorder="1" applyAlignment="1">
      <alignment horizontal="center"/>
    </xf>
    <xf numFmtId="0" fontId="28" fillId="0" borderId="0" xfId="3"/>
    <xf numFmtId="0" fontId="25" fillId="0" borderId="0" xfId="3" applyFont="1"/>
    <xf numFmtId="49" fontId="25" fillId="9" borderId="41" xfId="3" applyNumberFormat="1" applyFont="1" applyFill="1" applyBorder="1" applyAlignment="1">
      <alignment horizontal="center"/>
    </xf>
    <xf numFmtId="49" fontId="25" fillId="10" borderId="41" xfId="3" applyNumberFormat="1" applyFont="1" applyFill="1" applyBorder="1" applyAlignment="1">
      <alignment horizontal="center"/>
    </xf>
    <xf numFmtId="164" fontId="28" fillId="0" borderId="45" xfId="3" applyNumberFormat="1" applyFont="1" applyBorder="1" applyAlignment="1">
      <alignment horizontal="center"/>
    </xf>
    <xf numFmtId="164" fontId="28" fillId="0" borderId="0" xfId="3" applyNumberFormat="1" applyFont="1" applyAlignment="1">
      <alignment horizontal="center"/>
    </xf>
    <xf numFmtId="164" fontId="28" fillId="0" borderId="46" xfId="3" applyNumberFormat="1" applyFont="1" applyBorder="1" applyAlignment="1">
      <alignment horizontal="center"/>
    </xf>
    <xf numFmtId="164" fontId="28" fillId="0" borderId="47" xfId="3" applyNumberFormat="1" applyFont="1" applyBorder="1" applyAlignment="1">
      <alignment horizontal="center"/>
    </xf>
    <xf numFmtId="164" fontId="28" fillId="0" borderId="45" xfId="3" applyNumberFormat="1" applyFont="1" applyFill="1" applyBorder="1" applyAlignment="1">
      <alignment horizontal="center"/>
    </xf>
    <xf numFmtId="164" fontId="28" fillId="0" borderId="0" xfId="3" applyNumberFormat="1" applyFont="1" applyFill="1" applyAlignment="1">
      <alignment horizontal="center"/>
    </xf>
    <xf numFmtId="164" fontId="28" fillId="0" borderId="46" xfId="3" applyNumberFormat="1" applyFont="1" applyFill="1" applyBorder="1" applyAlignment="1">
      <alignment horizontal="center"/>
    </xf>
    <xf numFmtId="164" fontId="28" fillId="0" borderId="47" xfId="3" applyNumberFormat="1" applyFont="1" applyFill="1" applyBorder="1" applyAlignment="1">
      <alignment horizontal="center"/>
    </xf>
    <xf numFmtId="164" fontId="28" fillId="0" borderId="42" xfId="3" applyNumberFormat="1" applyFont="1" applyBorder="1" applyAlignment="1">
      <alignment horizontal="center"/>
    </xf>
    <xf numFmtId="164" fontId="28" fillId="0" borderId="43" xfId="3" applyNumberFormat="1" applyFont="1" applyBorder="1" applyAlignment="1">
      <alignment horizontal="center"/>
    </xf>
    <xf numFmtId="164" fontId="28" fillId="0" borderId="44" xfId="3" applyNumberFormat="1" applyFont="1" applyBorder="1" applyAlignment="1">
      <alignment horizontal="center"/>
    </xf>
    <xf numFmtId="164" fontId="28" fillId="0" borderId="48" xfId="3" applyNumberFormat="1" applyFont="1" applyBorder="1" applyAlignment="1">
      <alignment horizontal="center"/>
    </xf>
    <xf numFmtId="0" fontId="28" fillId="0" borderId="0" xfId="3"/>
    <xf numFmtId="0" fontId="25" fillId="0" borderId="0" xfId="3" applyFont="1"/>
    <xf numFmtId="49" fontId="25" fillId="9" borderId="41" xfId="3" applyNumberFormat="1" applyFont="1" applyFill="1" applyBorder="1" applyAlignment="1">
      <alignment horizontal="center"/>
    </xf>
    <xf numFmtId="49" fontId="25" fillId="10" borderId="41" xfId="3" applyNumberFormat="1" applyFont="1" applyFill="1" applyBorder="1" applyAlignment="1">
      <alignment horizontal="center"/>
    </xf>
    <xf numFmtId="164" fontId="28" fillId="0" borderId="45" xfId="3" applyNumberFormat="1" applyFont="1" applyBorder="1" applyAlignment="1">
      <alignment horizontal="center"/>
    </xf>
    <xf numFmtId="164" fontId="28" fillId="0" borderId="0" xfId="3" applyNumberFormat="1" applyFont="1" applyAlignment="1">
      <alignment horizontal="center"/>
    </xf>
    <xf numFmtId="164" fontId="28" fillId="0" borderId="46" xfId="3" applyNumberFormat="1" applyFont="1" applyBorder="1" applyAlignment="1">
      <alignment horizontal="center"/>
    </xf>
    <xf numFmtId="164" fontId="28" fillId="0" borderId="47" xfId="3" applyNumberFormat="1" applyFont="1" applyBorder="1" applyAlignment="1">
      <alignment horizontal="center"/>
    </xf>
    <xf numFmtId="164" fontId="28" fillId="0" borderId="45" xfId="3" applyNumberFormat="1" applyFont="1" applyFill="1" applyBorder="1" applyAlignment="1">
      <alignment horizontal="center"/>
    </xf>
    <xf numFmtId="164" fontId="28" fillId="0" borderId="0" xfId="3" applyNumberFormat="1" applyFont="1" applyFill="1" applyAlignment="1">
      <alignment horizontal="center"/>
    </xf>
    <xf numFmtId="164" fontId="28" fillId="0" borderId="46" xfId="3" applyNumberFormat="1" applyFont="1" applyFill="1" applyBorder="1" applyAlignment="1">
      <alignment horizontal="center"/>
    </xf>
    <xf numFmtId="164" fontId="28" fillId="0" borderId="47" xfId="3" applyNumberFormat="1" applyFont="1" applyFill="1" applyBorder="1" applyAlignment="1">
      <alignment horizontal="center"/>
    </xf>
    <xf numFmtId="164" fontId="28" fillId="0" borderId="42" xfId="3" applyNumberFormat="1" applyFont="1" applyBorder="1" applyAlignment="1">
      <alignment horizontal="center"/>
    </xf>
    <xf numFmtId="164" fontId="28" fillId="0" borderId="43" xfId="3" applyNumberFormat="1" applyFont="1" applyBorder="1" applyAlignment="1">
      <alignment horizontal="center"/>
    </xf>
    <xf numFmtId="164" fontId="28" fillId="0" borderId="44" xfId="3" applyNumberFormat="1" applyFont="1" applyBorder="1" applyAlignment="1">
      <alignment horizontal="center"/>
    </xf>
    <xf numFmtId="164" fontId="28" fillId="0" borderId="48" xfId="3" applyNumberFormat="1" applyFont="1" applyBorder="1" applyAlignment="1">
      <alignment horizontal="center"/>
    </xf>
    <xf numFmtId="0" fontId="28" fillId="0" borderId="0" xfId="3"/>
    <xf numFmtId="0" fontId="25" fillId="0" borderId="0" xfId="3" applyFont="1"/>
    <xf numFmtId="49" fontId="25" fillId="9" borderId="41" xfId="3" applyNumberFormat="1" applyFont="1" applyFill="1" applyBorder="1" applyAlignment="1">
      <alignment horizontal="center"/>
    </xf>
    <xf numFmtId="49" fontId="25" fillId="10" borderId="41" xfId="3" applyNumberFormat="1" applyFont="1" applyFill="1" applyBorder="1" applyAlignment="1">
      <alignment horizontal="center"/>
    </xf>
    <xf numFmtId="164" fontId="28" fillId="0" borderId="45" xfId="3" applyNumberFormat="1" applyFont="1" applyBorder="1" applyAlignment="1">
      <alignment horizontal="center"/>
    </xf>
    <xf numFmtId="164" fontId="28" fillId="0" borderId="0" xfId="3" applyNumberFormat="1" applyFont="1" applyAlignment="1">
      <alignment horizontal="center"/>
    </xf>
    <xf numFmtId="164" fontId="28" fillId="0" borderId="46" xfId="3" applyNumberFormat="1" applyFont="1" applyBorder="1" applyAlignment="1">
      <alignment horizontal="center"/>
    </xf>
    <xf numFmtId="164" fontId="28" fillId="0" borderId="47" xfId="3" applyNumberFormat="1" applyFont="1" applyBorder="1" applyAlignment="1">
      <alignment horizontal="center"/>
    </xf>
    <xf numFmtId="164" fontId="28" fillId="0" borderId="45" xfId="3" applyNumberFormat="1" applyFont="1" applyFill="1" applyBorder="1" applyAlignment="1">
      <alignment horizontal="center"/>
    </xf>
    <xf numFmtId="164" fontId="28" fillId="0" borderId="0" xfId="3" applyNumberFormat="1" applyFont="1" applyFill="1" applyAlignment="1">
      <alignment horizontal="center"/>
    </xf>
    <xf numFmtId="164" fontId="28" fillId="0" borderId="46" xfId="3" applyNumberFormat="1" applyFont="1" applyFill="1" applyBorder="1" applyAlignment="1">
      <alignment horizontal="center"/>
    </xf>
    <xf numFmtId="164" fontId="28" fillId="0" borderId="47" xfId="3" applyNumberFormat="1" applyFont="1" applyFill="1" applyBorder="1" applyAlignment="1">
      <alignment horizontal="center"/>
    </xf>
    <xf numFmtId="164" fontId="28" fillId="0" borderId="42" xfId="3" applyNumberFormat="1" applyFont="1" applyBorder="1" applyAlignment="1">
      <alignment horizontal="center"/>
    </xf>
    <xf numFmtId="164" fontId="28" fillId="0" borderId="43" xfId="3" applyNumberFormat="1" applyFont="1" applyBorder="1" applyAlignment="1">
      <alignment horizontal="center"/>
    </xf>
    <xf numFmtId="164" fontId="28" fillId="0" borderId="44" xfId="3" applyNumberFormat="1" applyFont="1" applyBorder="1" applyAlignment="1">
      <alignment horizontal="center"/>
    </xf>
    <xf numFmtId="164" fontId="28" fillId="0" borderId="48" xfId="3" applyNumberFormat="1" applyFont="1" applyBorder="1" applyAlignment="1">
      <alignment horizontal="center"/>
    </xf>
    <xf numFmtId="0" fontId="28" fillId="0" borderId="0" xfId="3"/>
    <xf numFmtId="0" fontId="25" fillId="0" borderId="0" xfId="3" applyFont="1"/>
    <xf numFmtId="49" fontId="25" fillId="9" borderId="41" xfId="3" applyNumberFormat="1" applyFont="1" applyFill="1" applyBorder="1" applyAlignment="1">
      <alignment horizontal="center"/>
    </xf>
    <xf numFmtId="49" fontId="25" fillId="10" borderId="41" xfId="3" applyNumberFormat="1" applyFont="1" applyFill="1" applyBorder="1" applyAlignment="1">
      <alignment horizontal="center"/>
    </xf>
    <xf numFmtId="164" fontId="28" fillId="0" borderId="45" xfId="3" applyNumberFormat="1" applyFont="1" applyBorder="1" applyAlignment="1">
      <alignment horizontal="center"/>
    </xf>
    <xf numFmtId="164" fontId="28" fillId="0" borderId="0" xfId="3" applyNumberFormat="1" applyFont="1" applyAlignment="1">
      <alignment horizontal="center"/>
    </xf>
    <xf numFmtId="164" fontId="28" fillId="0" borderId="46" xfId="3" applyNumberFormat="1" applyFont="1" applyBorder="1" applyAlignment="1">
      <alignment horizontal="center"/>
    </xf>
    <xf numFmtId="164" fontId="28" fillId="0" borderId="47" xfId="3" applyNumberFormat="1" applyFont="1" applyBorder="1" applyAlignment="1">
      <alignment horizontal="center"/>
    </xf>
    <xf numFmtId="164" fontId="28" fillId="0" borderId="45" xfId="3" applyNumberFormat="1" applyFont="1" applyFill="1" applyBorder="1" applyAlignment="1">
      <alignment horizontal="center"/>
    </xf>
    <xf numFmtId="164" fontId="28" fillId="0" borderId="0" xfId="3" applyNumberFormat="1" applyFont="1" applyFill="1" applyAlignment="1">
      <alignment horizontal="center"/>
    </xf>
    <xf numFmtId="164" fontId="28" fillId="0" borderId="46" xfId="3" applyNumberFormat="1" applyFont="1" applyFill="1" applyBorder="1" applyAlignment="1">
      <alignment horizontal="center"/>
    </xf>
    <xf numFmtId="164" fontId="28" fillId="0" borderId="47" xfId="3" applyNumberFormat="1" applyFont="1" applyFill="1" applyBorder="1" applyAlignment="1">
      <alignment horizontal="center"/>
    </xf>
    <xf numFmtId="164" fontId="28" fillId="0" borderId="42" xfId="3" applyNumberFormat="1" applyFont="1" applyBorder="1" applyAlignment="1">
      <alignment horizontal="center"/>
    </xf>
    <xf numFmtId="164" fontId="28" fillId="0" borderId="43" xfId="3" applyNumberFormat="1" applyFont="1" applyBorder="1" applyAlignment="1">
      <alignment horizontal="center"/>
    </xf>
    <xf numFmtId="164" fontId="28" fillId="0" borderId="44" xfId="3" applyNumberFormat="1" applyFont="1" applyBorder="1" applyAlignment="1">
      <alignment horizontal="center"/>
    </xf>
    <xf numFmtId="164" fontId="28" fillId="0" borderId="48" xfId="3" applyNumberFormat="1" applyFont="1" applyBorder="1" applyAlignment="1">
      <alignment horizontal="center"/>
    </xf>
    <xf numFmtId="0" fontId="28" fillId="0" borderId="0" xfId="3"/>
    <xf numFmtId="0" fontId="25" fillId="0" borderId="0" xfId="3" applyFont="1"/>
    <xf numFmtId="49" fontId="25" fillId="9" borderId="41" xfId="3" applyNumberFormat="1" applyFont="1" applyFill="1" applyBorder="1" applyAlignment="1">
      <alignment horizontal="center"/>
    </xf>
    <xf numFmtId="49" fontId="25" fillId="10" borderId="41" xfId="3" applyNumberFormat="1" applyFont="1" applyFill="1" applyBorder="1" applyAlignment="1">
      <alignment horizontal="center"/>
    </xf>
    <xf numFmtId="164" fontId="28" fillId="0" borderId="45" xfId="3" applyNumberFormat="1" applyFont="1" applyBorder="1" applyAlignment="1">
      <alignment horizontal="center"/>
    </xf>
    <xf numFmtId="164" fontId="28" fillId="0" borderId="0" xfId="3" applyNumberFormat="1" applyFont="1" applyAlignment="1">
      <alignment horizontal="center"/>
    </xf>
    <xf numFmtId="164" fontId="28" fillId="0" borderId="46" xfId="3" applyNumberFormat="1" applyFont="1" applyBorder="1" applyAlignment="1">
      <alignment horizontal="center"/>
    </xf>
    <xf numFmtId="164" fontId="28" fillId="0" borderId="47" xfId="3" applyNumberFormat="1" applyFont="1" applyBorder="1" applyAlignment="1">
      <alignment horizontal="center"/>
    </xf>
    <xf numFmtId="164" fontId="28" fillId="0" borderId="45" xfId="3" applyNumberFormat="1" applyFont="1" applyFill="1" applyBorder="1" applyAlignment="1">
      <alignment horizontal="center"/>
    </xf>
    <xf numFmtId="164" fontId="28" fillId="0" borderId="0" xfId="3" applyNumberFormat="1" applyFont="1" applyFill="1" applyAlignment="1">
      <alignment horizontal="center"/>
    </xf>
    <xf numFmtId="164" fontId="28" fillId="0" borderId="46" xfId="3" applyNumberFormat="1" applyFont="1" applyFill="1" applyBorder="1" applyAlignment="1">
      <alignment horizontal="center"/>
    </xf>
    <xf numFmtId="164" fontId="28" fillId="0" borderId="47" xfId="3" applyNumberFormat="1" applyFont="1" applyFill="1" applyBorder="1" applyAlignment="1">
      <alignment horizontal="center"/>
    </xf>
    <xf numFmtId="164" fontId="28" fillId="0" borderId="42" xfId="3" applyNumberFormat="1" applyFont="1" applyBorder="1" applyAlignment="1">
      <alignment horizontal="center"/>
    </xf>
    <xf numFmtId="164" fontId="28" fillId="0" borderId="43" xfId="3" applyNumberFormat="1" applyFont="1" applyBorder="1" applyAlignment="1">
      <alignment horizontal="center"/>
    </xf>
    <xf numFmtId="164" fontId="28" fillId="0" borderId="44" xfId="3" applyNumberFormat="1" applyFont="1" applyBorder="1" applyAlignment="1">
      <alignment horizontal="center"/>
    </xf>
    <xf numFmtId="164" fontId="28" fillId="0" borderId="48" xfId="3" applyNumberFormat="1" applyFont="1" applyBorder="1" applyAlignment="1">
      <alignment horizontal="center"/>
    </xf>
    <xf numFmtId="0" fontId="28" fillId="0" borderId="0" xfId="3"/>
    <xf numFmtId="0" fontId="25" fillId="0" borderId="0" xfId="3" applyFont="1"/>
    <xf numFmtId="49" fontId="25" fillId="9" borderId="41" xfId="3" applyNumberFormat="1" applyFont="1" applyFill="1" applyBorder="1" applyAlignment="1">
      <alignment horizontal="center"/>
    </xf>
    <xf numFmtId="49" fontId="25" fillId="10" borderId="41" xfId="3" applyNumberFormat="1" applyFont="1" applyFill="1" applyBorder="1" applyAlignment="1">
      <alignment horizontal="center"/>
    </xf>
    <xf numFmtId="164" fontId="28" fillId="0" borderId="45" xfId="3" applyNumberFormat="1" applyFont="1" applyBorder="1" applyAlignment="1">
      <alignment horizontal="center"/>
    </xf>
    <xf numFmtId="164" fontId="28" fillId="0" borderId="0" xfId="3" applyNumberFormat="1" applyFont="1" applyAlignment="1">
      <alignment horizontal="center"/>
    </xf>
    <xf numFmtId="164" fontId="28" fillId="0" borderId="46" xfId="3" applyNumberFormat="1" applyFont="1" applyBorder="1" applyAlignment="1">
      <alignment horizontal="center"/>
    </xf>
    <xf numFmtId="164" fontId="28" fillId="0" borderId="47" xfId="3" applyNumberFormat="1" applyFont="1" applyBorder="1" applyAlignment="1">
      <alignment horizontal="center"/>
    </xf>
    <xf numFmtId="164" fontId="28" fillId="0" borderId="45" xfId="3" applyNumberFormat="1" applyFont="1" applyFill="1" applyBorder="1" applyAlignment="1">
      <alignment horizontal="center"/>
    </xf>
    <xf numFmtId="164" fontId="28" fillId="0" borderId="0" xfId="3" applyNumberFormat="1" applyFont="1" applyFill="1" applyAlignment="1">
      <alignment horizontal="center"/>
    </xf>
    <xf numFmtId="164" fontId="28" fillId="0" borderId="46" xfId="3" applyNumberFormat="1" applyFont="1" applyFill="1" applyBorder="1" applyAlignment="1">
      <alignment horizontal="center"/>
    </xf>
    <xf numFmtId="164" fontId="28" fillId="0" borderId="47" xfId="3" applyNumberFormat="1" applyFont="1" applyFill="1" applyBorder="1" applyAlignment="1">
      <alignment horizontal="center"/>
    </xf>
    <xf numFmtId="164" fontId="28" fillId="0" borderId="42" xfId="3" applyNumberFormat="1" applyFont="1" applyBorder="1" applyAlignment="1">
      <alignment horizontal="center"/>
    </xf>
    <xf numFmtId="164" fontId="28" fillId="0" borderId="43" xfId="3" applyNumberFormat="1" applyFont="1" applyBorder="1" applyAlignment="1">
      <alignment horizontal="center"/>
    </xf>
    <xf numFmtId="164" fontId="28" fillId="0" borderId="44" xfId="3" applyNumberFormat="1" applyFont="1" applyBorder="1" applyAlignment="1">
      <alignment horizontal="center"/>
    </xf>
    <xf numFmtId="164" fontId="28" fillId="0" borderId="48" xfId="3" applyNumberFormat="1" applyFont="1" applyBorder="1" applyAlignment="1">
      <alignment horizontal="center"/>
    </xf>
    <xf numFmtId="0" fontId="28" fillId="0" borderId="0" xfId="3"/>
    <xf numFmtId="0" fontId="25" fillId="0" borderId="0" xfId="3" applyFont="1"/>
    <xf numFmtId="49" fontId="25" fillId="9" borderId="41" xfId="3" applyNumberFormat="1" applyFont="1" applyFill="1" applyBorder="1" applyAlignment="1">
      <alignment horizontal="center"/>
    </xf>
    <xf numFmtId="49" fontId="25" fillId="10" borderId="41" xfId="3" applyNumberFormat="1" applyFont="1" applyFill="1" applyBorder="1" applyAlignment="1">
      <alignment horizontal="center"/>
    </xf>
    <xf numFmtId="164" fontId="28" fillId="0" borderId="45" xfId="3" applyNumberFormat="1" applyFont="1" applyBorder="1" applyAlignment="1">
      <alignment horizontal="center"/>
    </xf>
    <xf numFmtId="164" fontId="28" fillId="0" borderId="0" xfId="3" applyNumberFormat="1" applyFont="1" applyAlignment="1">
      <alignment horizontal="center"/>
    </xf>
    <xf numFmtId="164" fontId="28" fillId="0" borderId="46" xfId="3" applyNumberFormat="1" applyFont="1" applyBorder="1" applyAlignment="1">
      <alignment horizontal="center"/>
    </xf>
    <xf numFmtId="164" fontId="28" fillId="0" borderId="47" xfId="3" applyNumberFormat="1" applyFont="1" applyBorder="1" applyAlignment="1">
      <alignment horizontal="center"/>
    </xf>
    <xf numFmtId="164" fontId="28" fillId="0" borderId="45" xfId="3" applyNumberFormat="1" applyFont="1" applyFill="1" applyBorder="1" applyAlignment="1">
      <alignment horizontal="center"/>
    </xf>
    <xf numFmtId="164" fontId="28" fillId="0" borderId="0" xfId="3" applyNumberFormat="1" applyFont="1" applyFill="1" applyAlignment="1">
      <alignment horizontal="center"/>
    </xf>
    <xf numFmtId="164" fontId="28" fillId="0" borderId="46" xfId="3" applyNumberFormat="1" applyFont="1" applyFill="1" applyBorder="1" applyAlignment="1">
      <alignment horizontal="center"/>
    </xf>
    <xf numFmtId="164" fontId="28" fillId="0" borderId="47" xfId="3" applyNumberFormat="1" applyFont="1" applyFill="1" applyBorder="1" applyAlignment="1">
      <alignment horizontal="center"/>
    </xf>
    <xf numFmtId="164" fontId="28" fillId="0" borderId="42" xfId="3" applyNumberFormat="1" applyFont="1" applyBorder="1" applyAlignment="1">
      <alignment horizontal="center"/>
    </xf>
    <xf numFmtId="164" fontId="28" fillId="0" borderId="43" xfId="3" applyNumberFormat="1" applyFont="1" applyBorder="1" applyAlignment="1">
      <alignment horizontal="center"/>
    </xf>
    <xf numFmtId="164" fontId="28" fillId="0" borderId="44" xfId="3" applyNumberFormat="1" applyFont="1" applyBorder="1" applyAlignment="1">
      <alignment horizontal="center"/>
    </xf>
    <xf numFmtId="164" fontId="28" fillId="0" borderId="48" xfId="3" applyNumberFormat="1" applyFont="1" applyBorder="1" applyAlignment="1">
      <alignment horizontal="center"/>
    </xf>
    <xf numFmtId="0" fontId="28" fillId="0" borderId="0" xfId="3"/>
    <xf numFmtId="0" fontId="25" fillId="0" borderId="0" xfId="3" applyFont="1"/>
    <xf numFmtId="49" fontId="25" fillId="9" borderId="41" xfId="3" applyNumberFormat="1" applyFont="1" applyFill="1" applyBorder="1" applyAlignment="1">
      <alignment horizontal="center"/>
    </xf>
    <xf numFmtId="49" fontId="25" fillId="10" borderId="41" xfId="3" applyNumberFormat="1" applyFont="1" applyFill="1" applyBorder="1" applyAlignment="1">
      <alignment horizontal="center"/>
    </xf>
    <xf numFmtId="164" fontId="28" fillId="0" borderId="45" xfId="3" applyNumberFormat="1" applyFont="1" applyBorder="1" applyAlignment="1">
      <alignment horizontal="center"/>
    </xf>
    <xf numFmtId="164" fontId="28" fillId="0" borderId="0" xfId="3" applyNumberFormat="1" applyFont="1" applyAlignment="1">
      <alignment horizontal="center"/>
    </xf>
    <xf numFmtId="164" fontId="28" fillId="0" borderId="46" xfId="3" applyNumberFormat="1" applyFont="1" applyBorder="1" applyAlignment="1">
      <alignment horizontal="center"/>
    </xf>
    <xf numFmtId="164" fontId="28" fillId="0" borderId="47" xfId="3" applyNumberFormat="1" applyFont="1" applyBorder="1" applyAlignment="1">
      <alignment horizontal="center"/>
    </xf>
    <xf numFmtId="164" fontId="28" fillId="0" borderId="45" xfId="3" applyNumberFormat="1" applyFont="1" applyFill="1" applyBorder="1" applyAlignment="1">
      <alignment horizontal="center"/>
    </xf>
    <xf numFmtId="164" fontId="28" fillId="0" borderId="0" xfId="3" applyNumberFormat="1" applyFont="1" applyFill="1" applyAlignment="1">
      <alignment horizontal="center"/>
    </xf>
    <xf numFmtId="164" fontId="28" fillId="0" borderId="46" xfId="3" applyNumberFormat="1" applyFont="1" applyFill="1" applyBorder="1" applyAlignment="1">
      <alignment horizontal="center"/>
    </xf>
    <xf numFmtId="164" fontId="28" fillId="0" borderId="47" xfId="3" applyNumberFormat="1" applyFont="1" applyFill="1" applyBorder="1" applyAlignment="1">
      <alignment horizontal="center"/>
    </xf>
    <xf numFmtId="164" fontId="28" fillId="0" borderId="42" xfId="3" applyNumberFormat="1" applyFont="1" applyBorder="1" applyAlignment="1">
      <alignment horizontal="center"/>
    </xf>
    <xf numFmtId="164" fontId="28" fillId="0" borderId="43" xfId="3" applyNumberFormat="1" applyFont="1" applyBorder="1" applyAlignment="1">
      <alignment horizontal="center"/>
    </xf>
    <xf numFmtId="164" fontId="28" fillId="0" borderId="44" xfId="3" applyNumberFormat="1" applyFont="1" applyBorder="1" applyAlignment="1">
      <alignment horizontal="center"/>
    </xf>
    <xf numFmtId="164" fontId="28" fillId="0" borderId="48" xfId="3" applyNumberFormat="1" applyFont="1" applyBorder="1" applyAlignment="1">
      <alignment horizontal="center"/>
    </xf>
    <xf numFmtId="0" fontId="28" fillId="0" borderId="0" xfId="3"/>
    <xf numFmtId="0" fontId="25" fillId="0" borderId="0" xfId="3" applyFont="1"/>
    <xf numFmtId="49" fontId="25" fillId="9" borderId="41" xfId="3" applyNumberFormat="1" applyFont="1" applyFill="1" applyBorder="1" applyAlignment="1">
      <alignment horizontal="center"/>
    </xf>
    <xf numFmtId="49" fontId="25" fillId="10" borderId="41" xfId="3" applyNumberFormat="1" applyFont="1" applyFill="1" applyBorder="1" applyAlignment="1">
      <alignment horizontal="center"/>
    </xf>
    <xf numFmtId="164" fontId="28" fillId="0" borderId="45" xfId="3" applyNumberFormat="1" applyFont="1" applyBorder="1" applyAlignment="1">
      <alignment horizontal="center"/>
    </xf>
    <xf numFmtId="164" fontId="28" fillId="0" borderId="0" xfId="3" applyNumberFormat="1" applyFont="1" applyAlignment="1">
      <alignment horizontal="center"/>
    </xf>
    <xf numFmtId="164" fontId="28" fillId="0" borderId="46" xfId="3" applyNumberFormat="1" applyFont="1" applyBorder="1" applyAlignment="1">
      <alignment horizontal="center"/>
    </xf>
    <xf numFmtId="164" fontId="28" fillId="0" borderId="47" xfId="3" applyNumberFormat="1" applyFont="1" applyBorder="1" applyAlignment="1">
      <alignment horizontal="center"/>
    </xf>
    <xf numFmtId="164" fontId="28" fillId="0" borderId="45" xfId="3" applyNumberFormat="1" applyFont="1" applyFill="1" applyBorder="1" applyAlignment="1">
      <alignment horizontal="center"/>
    </xf>
    <xf numFmtId="164" fontId="28" fillId="0" borderId="0" xfId="3" applyNumberFormat="1" applyFont="1" applyFill="1" applyAlignment="1">
      <alignment horizontal="center"/>
    </xf>
    <xf numFmtId="164" fontId="28" fillId="0" borderId="46" xfId="3" applyNumberFormat="1" applyFont="1" applyFill="1" applyBorder="1" applyAlignment="1">
      <alignment horizontal="center"/>
    </xf>
    <xf numFmtId="164" fontId="28" fillId="0" borderId="47" xfId="3" applyNumberFormat="1" applyFont="1" applyFill="1" applyBorder="1" applyAlignment="1">
      <alignment horizontal="center"/>
    </xf>
    <xf numFmtId="164" fontId="28" fillId="0" borderId="42" xfId="3" applyNumberFormat="1" applyFont="1" applyBorder="1" applyAlignment="1">
      <alignment horizontal="center"/>
    </xf>
    <xf numFmtId="164" fontId="28" fillId="0" borderId="43" xfId="3" applyNumberFormat="1" applyFont="1" applyBorder="1" applyAlignment="1">
      <alignment horizontal="center"/>
    </xf>
    <xf numFmtId="164" fontId="28" fillId="0" borderId="44" xfId="3" applyNumberFormat="1" applyFont="1" applyBorder="1" applyAlignment="1">
      <alignment horizontal="center"/>
    </xf>
    <xf numFmtId="164" fontId="28" fillId="0" borderId="48" xfId="3" applyNumberFormat="1" applyFont="1" applyBorder="1" applyAlignment="1">
      <alignment horizontal="center"/>
    </xf>
    <xf numFmtId="0" fontId="28" fillId="0" borderId="0" xfId="3"/>
    <xf numFmtId="0" fontId="25" fillId="0" borderId="0" xfId="3" applyFont="1"/>
    <xf numFmtId="49" fontId="25" fillId="9" borderId="41" xfId="3" applyNumberFormat="1" applyFont="1" applyFill="1" applyBorder="1" applyAlignment="1">
      <alignment horizontal="center"/>
    </xf>
    <xf numFmtId="49" fontId="25" fillId="10" borderId="41" xfId="3" applyNumberFormat="1" applyFont="1" applyFill="1" applyBorder="1" applyAlignment="1">
      <alignment horizontal="center"/>
    </xf>
    <xf numFmtId="164" fontId="28" fillId="0" borderId="45" xfId="3" applyNumberFormat="1" applyFont="1" applyBorder="1" applyAlignment="1">
      <alignment horizontal="center"/>
    </xf>
    <xf numFmtId="164" fontId="28" fillId="0" borderId="0" xfId="3" applyNumberFormat="1" applyFont="1" applyAlignment="1">
      <alignment horizontal="center"/>
    </xf>
    <xf numFmtId="164" fontId="28" fillId="0" borderId="46" xfId="3" applyNumberFormat="1" applyFont="1" applyBorder="1" applyAlignment="1">
      <alignment horizontal="center"/>
    </xf>
    <xf numFmtId="164" fontId="28" fillId="0" borderId="47" xfId="3" applyNumberFormat="1" applyFont="1" applyBorder="1" applyAlignment="1">
      <alignment horizontal="center"/>
    </xf>
    <xf numFmtId="164" fontId="28" fillId="0" borderId="45" xfId="3" applyNumberFormat="1" applyFont="1" applyFill="1" applyBorder="1" applyAlignment="1">
      <alignment horizontal="center"/>
    </xf>
    <xf numFmtId="164" fontId="28" fillId="0" borderId="0" xfId="3" applyNumberFormat="1" applyFont="1" applyFill="1" applyAlignment="1">
      <alignment horizontal="center"/>
    </xf>
    <xf numFmtId="164" fontId="28" fillId="0" borderId="46" xfId="3" applyNumberFormat="1" applyFont="1" applyFill="1" applyBorder="1" applyAlignment="1">
      <alignment horizontal="center"/>
    </xf>
    <xf numFmtId="164" fontId="28" fillId="0" borderId="47" xfId="3" applyNumberFormat="1" applyFont="1" applyFill="1" applyBorder="1" applyAlignment="1">
      <alignment horizontal="center"/>
    </xf>
    <xf numFmtId="164" fontId="28" fillId="0" borderId="42" xfId="3" applyNumberFormat="1" applyFont="1" applyBorder="1" applyAlignment="1">
      <alignment horizontal="center"/>
    </xf>
    <xf numFmtId="164" fontId="28" fillId="0" borderId="43" xfId="3" applyNumberFormat="1" applyFont="1" applyBorder="1" applyAlignment="1">
      <alignment horizontal="center"/>
    </xf>
    <xf numFmtId="164" fontId="28" fillId="0" borderId="44" xfId="3" applyNumberFormat="1" applyFont="1" applyBorder="1" applyAlignment="1">
      <alignment horizontal="center"/>
    </xf>
    <xf numFmtId="164" fontId="28" fillId="0" borderId="48" xfId="3" applyNumberFormat="1" applyFont="1" applyBorder="1" applyAlignment="1">
      <alignment horizontal="center"/>
    </xf>
    <xf numFmtId="0" fontId="25" fillId="0" borderId="0" xfId="0" applyFont="1" applyAlignment="1">
      <alignment horizontal="center"/>
    </xf>
    <xf numFmtId="0" fontId="22" fillId="0" borderId="0" xfId="2" applyAlignment="1">
      <alignment horizontal="right"/>
    </xf>
    <xf numFmtId="0" fontId="22" fillId="2" borderId="0" xfId="2" applyFill="1"/>
    <xf numFmtId="164" fontId="22" fillId="0" borderId="0" xfId="2" applyNumberFormat="1" applyAlignment="1">
      <alignment horizontal="right"/>
    </xf>
    <xf numFmtId="0" fontId="23" fillId="0" borderId="0" xfId="0" applyFont="1" applyFill="1" applyBorder="1" applyAlignment="1" applyProtection="1">
      <alignment vertical="center" wrapText="1"/>
    </xf>
    <xf numFmtId="0" fontId="33" fillId="0" borderId="0" xfId="0" applyFont="1" applyAlignment="1" applyProtection="1">
      <alignment horizontal="center" vertical="center"/>
    </xf>
    <xf numFmtId="0" fontId="2" fillId="0" borderId="0" xfId="0" applyFont="1" applyAlignment="1" applyProtection="1">
      <alignment horizontal="right" vertical="center"/>
    </xf>
    <xf numFmtId="0" fontId="33" fillId="0" borderId="0" xfId="0" applyFont="1" applyFill="1" applyBorder="1" applyAlignment="1" applyProtection="1">
      <alignment vertical="center" wrapText="1"/>
    </xf>
    <xf numFmtId="0" fontId="34" fillId="0" borderId="0" xfId="0" applyFont="1" applyAlignment="1" applyProtection="1">
      <alignment horizontal="center" vertical="center"/>
    </xf>
    <xf numFmtId="0" fontId="11" fillId="0" borderId="0" xfId="0" applyFont="1" applyFill="1" applyBorder="1" applyAlignment="1" applyProtection="1">
      <alignment horizontal="center" vertical="center" wrapText="1"/>
    </xf>
    <xf numFmtId="165" fontId="11" fillId="0" borderId="0" xfId="0" applyNumberFormat="1" applyFont="1" applyFill="1" applyBorder="1" applyAlignment="1" applyProtection="1">
      <alignment horizontal="center" vertical="center" wrapText="1"/>
    </xf>
    <xf numFmtId="3" fontId="13" fillId="0" borderId="0" xfId="1"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wrapText="1"/>
    </xf>
    <xf numFmtId="0" fontId="2" fillId="0" borderId="0" xfId="0" applyFont="1" applyFill="1" applyAlignment="1" applyProtection="1">
      <alignment horizontal="center"/>
    </xf>
    <xf numFmtId="0" fontId="32"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6" fillId="0" borderId="0" xfId="0" applyFont="1" applyFill="1" applyBorder="1" applyAlignment="1" applyProtection="1">
      <alignment horizontal="center" vertical="center" wrapText="1"/>
      <protection hidden="1"/>
    </xf>
    <xf numFmtId="0" fontId="2" fillId="3" borderId="6"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2" fillId="0" borderId="0" xfId="0" applyFont="1" applyFill="1" applyAlignment="1" applyProtection="1">
      <alignment horizontal="left" vertical="center"/>
    </xf>
    <xf numFmtId="0" fontId="2" fillId="0" borderId="0" xfId="0" applyFont="1" applyAlignment="1" applyProtection="1">
      <alignment horizontal="left" vertical="center"/>
    </xf>
    <xf numFmtId="0" fontId="23" fillId="0" borderId="0" xfId="0" applyFont="1" applyFill="1" applyAlignment="1" applyProtection="1">
      <alignment horizontal="center"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4"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Border="1" applyAlignment="1" applyProtection="1">
      <alignment vertical="center"/>
    </xf>
    <xf numFmtId="0" fontId="11" fillId="0" borderId="0" xfId="0" applyFont="1" applyAlignment="1" applyProtection="1">
      <alignment horizontal="center"/>
    </xf>
    <xf numFmtId="0" fontId="11" fillId="0" borderId="0" xfId="0" applyFont="1" applyFill="1" applyBorder="1" applyAlignment="1" applyProtection="1"/>
    <xf numFmtId="0" fontId="11" fillId="0" borderId="1" xfId="0" applyFont="1" applyFill="1" applyBorder="1" applyAlignment="1" applyProtection="1">
      <alignment horizontal="center"/>
    </xf>
    <xf numFmtId="0" fontId="11" fillId="0" borderId="0" xfId="0" applyFont="1" applyAlignment="1" applyProtection="1">
      <alignment horizontal="center" vertical="center"/>
    </xf>
    <xf numFmtId="0" fontId="11" fillId="0" borderId="0" xfId="0" applyFont="1" applyFill="1" applyAlignment="1" applyProtection="1">
      <alignment horizontal="center" vertical="center"/>
    </xf>
    <xf numFmtId="0" fontId="36" fillId="0" borderId="0" xfId="0" applyFont="1" applyFill="1" applyAlignment="1" applyProtection="1">
      <alignment horizontal="center" vertical="center"/>
    </xf>
    <xf numFmtId="0" fontId="11" fillId="0" borderId="0" xfId="0" applyFont="1" applyFill="1" applyAlignment="1" applyProtection="1">
      <alignment horizontal="center"/>
    </xf>
    <xf numFmtId="0" fontId="11" fillId="0" borderId="0" xfId="0" applyFont="1" applyFill="1" applyBorder="1" applyAlignment="1" applyProtection="1">
      <alignment horizontal="center" vertical="center"/>
    </xf>
    <xf numFmtId="0" fontId="11" fillId="0" borderId="0" xfId="0" applyFont="1" applyBorder="1" applyAlignment="1" applyProtection="1">
      <alignment horizontal="center" vertical="center"/>
    </xf>
    <xf numFmtId="0" fontId="11" fillId="3" borderId="0" xfId="0" applyFont="1" applyFill="1" applyAlignment="1" applyProtection="1">
      <alignment horizontal="center"/>
    </xf>
    <xf numFmtId="0" fontId="11" fillId="3" borderId="0" xfId="0" applyFont="1" applyFill="1" applyAlignment="1" applyProtection="1">
      <alignment horizontal="center" vertical="center"/>
    </xf>
    <xf numFmtId="0" fontId="2" fillId="0" borderId="0" xfId="0" applyFont="1" applyAlignment="1" applyProtection="1">
      <alignment horizontal="center" vertical="center"/>
    </xf>
    <xf numFmtId="0" fontId="11" fillId="4" borderId="4" xfId="0" applyFont="1" applyFill="1" applyBorder="1" applyAlignment="1" applyProtection="1">
      <alignment horizontal="center" vertical="center" wrapText="1"/>
      <protection locked="0"/>
    </xf>
    <xf numFmtId="0" fontId="2" fillId="0" borderId="0" xfId="0" applyFont="1" applyAlignment="1" applyProtection="1">
      <alignment horizontal="left"/>
    </xf>
    <xf numFmtId="0" fontId="24" fillId="0" borderId="0" xfId="0" applyFont="1" applyAlignment="1" applyProtection="1">
      <alignment horizontal="left" vertical="center"/>
    </xf>
    <xf numFmtId="0" fontId="2" fillId="0" borderId="0" xfId="0" applyFont="1" applyBorder="1" applyAlignment="1" applyProtection="1">
      <alignment horizontal="left" vertical="center"/>
    </xf>
    <xf numFmtId="0" fontId="3" fillId="0" borderId="0" xfId="0" applyFont="1" applyAlignment="1" applyProtection="1">
      <alignment horizontal="left" vertical="center"/>
    </xf>
    <xf numFmtId="2" fontId="13" fillId="0" borderId="0" xfId="1" applyNumberFormat="1" applyFont="1" applyFill="1" applyBorder="1" applyAlignment="1" applyProtection="1">
      <alignment horizontal="center" vertical="center"/>
    </xf>
    <xf numFmtId="0" fontId="11" fillId="2" borderId="3" xfId="0" applyFont="1" applyFill="1" applyBorder="1" applyAlignment="1" applyProtection="1">
      <alignment vertical="center" wrapText="1"/>
    </xf>
    <xf numFmtId="0" fontId="11" fillId="2" borderId="2" xfId="0" applyFont="1" applyFill="1" applyBorder="1" applyAlignment="1" applyProtection="1">
      <alignment vertical="center" wrapText="1"/>
    </xf>
    <xf numFmtId="0" fontId="11" fillId="0" borderId="1" xfId="0" applyFont="1" applyFill="1" applyBorder="1" applyAlignment="1" applyProtection="1">
      <alignment vertical="center"/>
    </xf>
    <xf numFmtId="0" fontId="11" fillId="0" borderId="3"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12" xfId="0" applyFont="1" applyFill="1" applyBorder="1" applyAlignment="1" applyProtection="1">
      <alignment vertical="center"/>
    </xf>
    <xf numFmtId="0" fontId="11" fillId="0" borderId="11" xfId="0" applyFont="1" applyFill="1" applyBorder="1" applyAlignment="1" applyProtection="1">
      <alignment vertical="center"/>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0" xfId="0" applyFont="1" applyFill="1" applyBorder="1" applyAlignment="1" applyProtection="1">
      <alignment horizontal="center"/>
      <protection locked="0"/>
    </xf>
    <xf numFmtId="0" fontId="6" fillId="0" borderId="0" xfId="0" applyFont="1" applyFill="1" applyAlignment="1" applyProtection="1">
      <alignment horizontal="center" vertical="center"/>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vertical="center" wrapText="1"/>
      <protection locked="0"/>
    </xf>
    <xf numFmtId="0" fontId="2" fillId="0" borderId="0" xfId="0" applyFont="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2" fillId="0" borderId="4"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1" xfId="0" applyFont="1" applyFill="1" applyBorder="1" applyAlignment="1" applyProtection="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2" fillId="0" borderId="4" xfId="0" applyFont="1" applyFill="1" applyBorder="1" applyAlignment="1" applyProtection="1">
      <alignment vertical="center"/>
    </xf>
    <xf numFmtId="0" fontId="38" fillId="3" borderId="4" xfId="0" applyFont="1" applyFill="1" applyBorder="1" applyAlignment="1">
      <alignment horizontal="center" vertical="center"/>
    </xf>
    <xf numFmtId="0" fontId="38" fillId="0" borderId="0" xfId="0" applyFont="1" applyAlignment="1">
      <alignment vertical="center"/>
    </xf>
    <xf numFmtId="0" fontId="37" fillId="0" borderId="11" xfId="0" applyFont="1" applyBorder="1" applyAlignment="1">
      <alignment horizontal="center" vertical="center"/>
    </xf>
    <xf numFmtId="0" fontId="39" fillId="0" borderId="11" xfId="0" applyFont="1" applyBorder="1" applyAlignment="1">
      <alignment horizontal="left" vertical="center"/>
    </xf>
    <xf numFmtId="0" fontId="39" fillId="0" borderId="11" xfId="0" applyFont="1" applyBorder="1" applyAlignment="1">
      <alignment vertical="center"/>
    </xf>
    <xf numFmtId="0" fontId="39" fillId="0" borderId="11" xfId="0" applyFont="1" applyBorder="1" applyAlignment="1">
      <alignment horizontal="center" vertical="center"/>
    </xf>
    <xf numFmtId="0" fontId="39" fillId="0" borderId="0" xfId="0" applyFont="1" applyBorder="1" applyAlignment="1">
      <alignment vertical="center"/>
    </xf>
    <xf numFmtId="0" fontId="39" fillId="0" borderId="0" xfId="0" applyFont="1" applyBorder="1" applyAlignment="1">
      <alignment horizontal="center" vertical="center"/>
    </xf>
    <xf numFmtId="0" fontId="38" fillId="0" borderId="0" xfId="0" applyFont="1" applyBorder="1" applyAlignment="1">
      <alignment horizontal="center" vertical="center"/>
    </xf>
    <xf numFmtId="0" fontId="38" fillId="0" borderId="0" xfId="0" applyFont="1" applyAlignment="1">
      <alignment horizontal="center" vertical="center"/>
    </xf>
    <xf numFmtId="0" fontId="11" fillId="3" borderId="4" xfId="0" applyFont="1" applyFill="1" applyBorder="1" applyAlignment="1">
      <alignment horizontal="center" vertical="center"/>
    </xf>
    <xf numFmtId="0" fontId="0" fillId="0" borderId="0" xfId="0" applyAlignment="1">
      <alignment vertical="center"/>
    </xf>
    <xf numFmtId="0" fontId="37" fillId="0" borderId="0" xfId="0" applyFont="1" applyAlignment="1">
      <alignment horizontal="center" vertical="center"/>
    </xf>
    <xf numFmtId="0" fontId="39" fillId="0" borderId="0" xfId="0" applyFont="1" applyAlignment="1">
      <alignment horizontal="left" vertical="center"/>
    </xf>
    <xf numFmtId="0" fontId="39" fillId="0" borderId="0" xfId="0" applyFont="1" applyAlignment="1">
      <alignment vertical="center"/>
    </xf>
    <xf numFmtId="0" fontId="39" fillId="0" borderId="0" xfId="0" applyFont="1" applyAlignment="1">
      <alignment horizontal="center" vertical="center"/>
    </xf>
    <xf numFmtId="0" fontId="39" fillId="0" borderId="4" xfId="0" applyFont="1" applyBorder="1" applyAlignment="1">
      <alignment horizontal="center" vertical="center"/>
    </xf>
    <xf numFmtId="0" fontId="39" fillId="0" borderId="4" xfId="0" applyFont="1" applyBorder="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4" xfId="0" applyFont="1" applyBorder="1" applyAlignment="1">
      <alignment horizontal="center" vertical="center"/>
    </xf>
    <xf numFmtId="0" fontId="37" fillId="0" borderId="4" xfId="0" applyFont="1" applyBorder="1" applyAlignment="1">
      <alignment vertical="center"/>
    </xf>
    <xf numFmtId="0" fontId="37" fillId="0" borderId="0" xfId="0" applyFont="1" applyBorder="1" applyAlignment="1">
      <alignment vertical="center"/>
    </xf>
    <xf numFmtId="0" fontId="11" fillId="0" borderId="6" xfId="0" applyFont="1" applyBorder="1" applyAlignment="1">
      <alignment vertical="center" wrapText="1"/>
    </xf>
    <xf numFmtId="0" fontId="11" fillId="0" borderId="0" xfId="0" applyFont="1" applyBorder="1" applyAlignment="1">
      <alignment horizontal="center" vertical="center" wrapText="1"/>
    </xf>
    <xf numFmtId="0" fontId="11" fillId="0" borderId="16" xfId="0" applyFont="1" applyBorder="1" applyAlignment="1">
      <alignment vertical="center"/>
    </xf>
    <xf numFmtId="0" fontId="11" fillId="0" borderId="8" xfId="0" applyFont="1" applyBorder="1" applyAlignment="1">
      <alignment vertical="center"/>
    </xf>
    <xf numFmtId="0" fontId="37" fillId="0" borderId="0" xfId="0" applyFont="1" applyBorder="1" applyAlignment="1">
      <alignment horizontal="left" vertical="center"/>
    </xf>
    <xf numFmtId="0" fontId="11" fillId="0" borderId="0" xfId="0" applyFont="1" applyBorder="1" applyAlignment="1">
      <alignment horizontal="left" vertical="center"/>
    </xf>
    <xf numFmtId="0" fontId="37" fillId="0" borderId="0" xfId="0" applyFont="1" applyAlignment="1" applyProtection="1">
      <alignment horizontal="left" vertical="center"/>
    </xf>
    <xf numFmtId="0" fontId="37" fillId="0" borderId="0" xfId="0" applyFont="1" applyFill="1" applyAlignment="1">
      <alignment horizontal="left" vertical="center"/>
    </xf>
    <xf numFmtId="0" fontId="11" fillId="0" borderId="0" xfId="0" applyFont="1" applyFill="1" applyAlignment="1">
      <alignment vertical="center"/>
    </xf>
    <xf numFmtId="0" fontId="11" fillId="0" borderId="0" xfId="0" applyFont="1" applyFill="1" applyAlignment="1">
      <alignment horizontal="center" vertical="center"/>
    </xf>
    <xf numFmtId="1" fontId="37" fillId="0" borderId="0" xfId="0" applyNumberFormat="1" applyFont="1" applyAlignment="1" applyProtection="1">
      <alignment horizontal="left" vertical="center"/>
    </xf>
    <xf numFmtId="164" fontId="37" fillId="0" borderId="4" xfId="0" applyNumberFormat="1" applyFont="1" applyBorder="1" applyAlignment="1">
      <alignment horizontal="center" vertical="center"/>
    </xf>
    <xf numFmtId="164" fontId="37" fillId="0" borderId="4" xfId="0" applyNumberFormat="1" applyFont="1" applyBorder="1" applyAlignment="1">
      <alignment vertical="center"/>
    </xf>
    <xf numFmtId="164" fontId="37" fillId="0" borderId="0" xfId="0" applyNumberFormat="1" applyFont="1" applyAlignment="1" applyProtection="1">
      <alignment horizontal="left" vertical="center"/>
    </xf>
    <xf numFmtId="2" fontId="37" fillId="0" borderId="0" xfId="0" applyNumberFormat="1" applyFont="1" applyAlignment="1" applyProtection="1">
      <alignment horizontal="left" vertical="center"/>
    </xf>
    <xf numFmtId="1" fontId="37" fillId="0" borderId="4" xfId="0" applyNumberFormat="1" applyFont="1" applyBorder="1" applyAlignment="1">
      <alignment horizontal="center" vertical="center"/>
    </xf>
    <xf numFmtId="1" fontId="37" fillId="0" borderId="4" xfId="0" applyNumberFormat="1" applyFont="1" applyBorder="1" applyAlignment="1">
      <alignment vertical="center"/>
    </xf>
    <xf numFmtId="0" fontId="37" fillId="0" borderId="0" xfId="0" applyFont="1" applyFill="1" applyAlignment="1">
      <alignment vertical="center"/>
    </xf>
    <xf numFmtId="0" fontId="37" fillId="0" borderId="0" xfId="0" applyFont="1" applyFill="1" applyAlignment="1">
      <alignment horizontal="center" vertical="center"/>
    </xf>
    <xf numFmtId="0" fontId="37" fillId="0" borderId="4" xfId="0" applyFont="1" applyFill="1" applyBorder="1" applyAlignment="1">
      <alignment horizontal="center" vertical="center"/>
    </xf>
    <xf numFmtId="0" fontId="37" fillId="0" borderId="4" xfId="0" applyFont="1" applyFill="1" applyBorder="1" applyAlignment="1">
      <alignment vertical="center"/>
    </xf>
    <xf numFmtId="4" fontId="37" fillId="0" borderId="0" xfId="0" applyNumberFormat="1" applyFont="1" applyAlignment="1" applyProtection="1">
      <alignment horizontal="left" vertical="center"/>
    </xf>
    <xf numFmtId="3" fontId="37" fillId="0" borderId="0" xfId="0" applyNumberFormat="1" applyFont="1" applyAlignment="1" applyProtection="1">
      <alignment horizontal="left" vertical="center"/>
    </xf>
    <xf numFmtId="165" fontId="37" fillId="0" borderId="0" xfId="0" applyNumberFormat="1" applyFont="1" applyAlignment="1" applyProtection="1">
      <alignment horizontal="left" vertical="center"/>
    </xf>
    <xf numFmtId="3" fontId="37" fillId="0" borderId="4" xfId="0" applyNumberFormat="1" applyFont="1" applyBorder="1" applyAlignment="1">
      <alignment horizontal="center" vertical="center"/>
    </xf>
    <xf numFmtId="3" fontId="37" fillId="0" borderId="4" xfId="0" applyNumberFormat="1" applyFont="1" applyBorder="1" applyAlignment="1">
      <alignment vertical="center"/>
    </xf>
    <xf numFmtId="3" fontId="37" fillId="0" borderId="0" xfId="0" applyNumberFormat="1" applyFont="1" applyAlignment="1">
      <alignment horizontal="left" vertical="center"/>
    </xf>
    <xf numFmtId="4" fontId="37" fillId="0" borderId="0" xfId="0" applyNumberFormat="1" applyFont="1" applyAlignment="1">
      <alignment vertical="center"/>
    </xf>
    <xf numFmtId="4" fontId="37" fillId="0" borderId="0" xfId="0" applyNumberFormat="1" applyFont="1" applyAlignment="1">
      <alignment horizontal="left" vertical="center"/>
    </xf>
    <xf numFmtId="4" fontId="37" fillId="0" borderId="4" xfId="0" applyNumberFormat="1" applyFont="1" applyBorder="1" applyAlignment="1">
      <alignment horizontal="center" vertical="center"/>
    </xf>
    <xf numFmtId="4" fontId="37" fillId="0" borderId="4" xfId="0" applyNumberFormat="1" applyFont="1" applyBorder="1" applyAlignment="1">
      <alignment vertical="center"/>
    </xf>
    <xf numFmtId="0" fontId="37" fillId="0" borderId="0" xfId="0" applyFont="1" applyBorder="1" applyAlignment="1">
      <alignment horizontal="center" vertical="center"/>
    </xf>
    <xf numFmtId="0" fontId="38" fillId="0" borderId="1" xfId="0" applyFont="1" applyBorder="1" applyAlignment="1">
      <alignment vertical="center"/>
    </xf>
    <xf numFmtId="0" fontId="11" fillId="0" borderId="3" xfId="0" applyFont="1" applyBorder="1" applyAlignment="1">
      <alignment horizontal="center"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13" xfId="0" applyFont="1" applyBorder="1" applyAlignment="1">
      <alignment vertical="center"/>
    </xf>
    <xf numFmtId="0" fontId="11" fillId="0" borderId="12" xfId="0" applyFont="1" applyBorder="1" applyAlignment="1">
      <alignment horizontal="center" vertical="center"/>
    </xf>
    <xf numFmtId="0" fontId="11" fillId="0" borderId="12" xfId="0" applyFont="1" applyBorder="1" applyAlignment="1">
      <alignment vertical="center"/>
    </xf>
    <xf numFmtId="0" fontId="11" fillId="0" borderId="15" xfId="0" applyFont="1" applyBorder="1" applyAlignment="1">
      <alignment horizontal="center" vertical="center"/>
    </xf>
    <xf numFmtId="0" fontId="11" fillId="0" borderId="10" xfId="0" applyFont="1" applyBorder="1" applyAlignment="1">
      <alignment vertical="center"/>
    </xf>
    <xf numFmtId="0" fontId="11" fillId="0" borderId="9" xfId="0" applyFont="1" applyBorder="1" applyAlignment="1">
      <alignment horizontal="center" vertical="center"/>
    </xf>
    <xf numFmtId="0" fontId="11" fillId="0" borderId="5" xfId="0" applyFont="1" applyBorder="1" applyAlignment="1">
      <alignment vertical="center"/>
    </xf>
    <xf numFmtId="0" fontId="11" fillId="0" borderId="11" xfId="0" applyFont="1" applyBorder="1" applyAlignment="1">
      <alignment horizontal="center" vertical="center"/>
    </xf>
    <xf numFmtId="0" fontId="11" fillId="0" borderId="11" xfId="0" applyFont="1" applyBorder="1" applyAlignment="1">
      <alignment vertical="center"/>
    </xf>
    <xf numFmtId="0" fontId="11" fillId="0" borderId="7" xfId="0" applyFont="1" applyBorder="1" applyAlignment="1">
      <alignment horizontal="center" vertical="center"/>
    </xf>
    <xf numFmtId="0" fontId="11" fillId="0" borderId="0" xfId="0" applyFont="1"/>
    <xf numFmtId="0" fontId="11" fillId="0" borderId="0" xfId="0" applyFont="1" applyAlignment="1">
      <alignment horizontal="center"/>
    </xf>
    <xf numFmtId="0" fontId="11" fillId="0" borderId="0" xfId="0" applyFont="1" applyAlignment="1">
      <alignment horizontal="left"/>
    </xf>
    <xf numFmtId="0" fontId="11" fillId="0" borderId="0" xfId="0" applyFont="1" applyBorder="1" applyAlignment="1">
      <alignment horizontal="center"/>
    </xf>
    <xf numFmtId="0" fontId="11" fillId="0" borderId="0" xfId="0" applyFont="1" applyBorder="1" applyAlignment="1"/>
    <xf numFmtId="0" fontId="43" fillId="0" borderId="4" xfId="0" applyFont="1" applyBorder="1" applyAlignment="1">
      <alignment horizontal="center"/>
    </xf>
    <xf numFmtId="0" fontId="43" fillId="0" borderId="1" xfId="0" applyFont="1" applyBorder="1" applyAlignment="1">
      <alignment horizontal="center"/>
    </xf>
    <xf numFmtId="0" fontId="43" fillId="0" borderId="0" xfId="0" applyFont="1" applyBorder="1" applyAlignment="1">
      <alignment horizontal="left"/>
    </xf>
    <xf numFmtId="0" fontId="38" fillId="0" borderId="0" xfId="0" applyFont="1"/>
    <xf numFmtId="0" fontId="11" fillId="0" borderId="4" xfId="0" applyFont="1" applyBorder="1" applyAlignment="1">
      <alignment horizontal="center"/>
    </xf>
    <xf numFmtId="0" fontId="11" fillId="0" borderId="0" xfId="0" applyFont="1" applyBorder="1"/>
    <xf numFmtId="0" fontId="44" fillId="0" borderId="0" xfId="0" applyFont="1" applyAlignment="1"/>
    <xf numFmtId="0" fontId="43" fillId="0" borderId="0" xfId="0" applyFont="1" applyAlignment="1">
      <alignment horizontal="center"/>
    </xf>
    <xf numFmtId="0" fontId="38" fillId="0" borderId="4" xfId="0" applyFont="1" applyBorder="1"/>
    <xf numFmtId="0" fontId="38" fillId="0" borderId="0" xfId="0" applyFont="1" applyBorder="1"/>
    <xf numFmtId="0" fontId="44" fillId="0" borderId="0" xfId="0" applyFont="1" applyAlignment="1">
      <alignment horizontal="left"/>
    </xf>
    <xf numFmtId="0" fontId="44" fillId="0" borderId="4" xfId="0" applyFont="1" applyBorder="1" applyAlignment="1">
      <alignment horizontal="center"/>
    </xf>
    <xf numFmtId="0" fontId="44" fillId="0" borderId="0" xfId="0" applyFont="1" applyBorder="1" applyAlignment="1">
      <alignment horizontal="left"/>
    </xf>
    <xf numFmtId="0" fontId="38" fillId="0" borderId="4" xfId="0" applyFont="1" applyBorder="1" applyAlignment="1">
      <alignment horizontal="center"/>
    </xf>
    <xf numFmtId="16" fontId="44" fillId="0" borderId="0" xfId="0" applyNumberFormat="1" applyFont="1" applyBorder="1" applyAlignment="1">
      <alignment horizontal="left"/>
    </xf>
    <xf numFmtId="0" fontId="39" fillId="0" borderId="0" xfId="0" applyFont="1" applyAlignment="1" applyProtection="1">
      <alignment horizontal="left" vertical="center"/>
    </xf>
    <xf numFmtId="0" fontId="2" fillId="0" borderId="0" xfId="0" applyFont="1" applyAlignment="1" applyProtection="1">
      <alignment horizontal="center" vertical="center"/>
    </xf>
    <xf numFmtId="0" fontId="11" fillId="0" borderId="0" xfId="0" applyFont="1" applyBorder="1" applyAlignment="1">
      <alignment horizontal="center" vertical="center"/>
    </xf>
    <xf numFmtId="0" fontId="45" fillId="0" borderId="0" xfId="0" applyFont="1" applyAlignment="1">
      <alignment horizontal="left" vertical="center"/>
    </xf>
    <xf numFmtId="0" fontId="45" fillId="0" borderId="0" xfId="0" applyFont="1" applyAlignment="1">
      <alignment vertical="center"/>
    </xf>
    <xf numFmtId="3" fontId="45" fillId="0" borderId="0" xfId="0" applyNumberFormat="1" applyFont="1" applyAlignment="1">
      <alignment horizontal="left" vertical="center"/>
    </xf>
    <xf numFmtId="0" fontId="45" fillId="0" borderId="0" xfId="0" applyFont="1" applyAlignment="1" applyProtection="1">
      <alignment horizontal="left" vertical="center"/>
    </xf>
    <xf numFmtId="0" fontId="11" fillId="0" borderId="4" xfId="0" applyFont="1" applyFill="1" applyBorder="1" applyAlignment="1" applyProtection="1"/>
    <xf numFmtId="0" fontId="11" fillId="0" borderId="1" xfId="0" applyFont="1" applyFill="1" applyBorder="1" applyAlignment="1" applyProtection="1"/>
    <xf numFmtId="0" fontId="11" fillId="0" borderId="3" xfId="0" applyFont="1" applyFill="1" applyBorder="1" applyAlignment="1" applyProtection="1"/>
    <xf numFmtId="0" fontId="11" fillId="0" borderId="2" xfId="0" applyFont="1" applyFill="1" applyBorder="1" applyAlignment="1" applyProtection="1"/>
    <xf numFmtId="0" fontId="2" fillId="0" borderId="6" xfId="0" applyFont="1" applyBorder="1" applyAlignment="1" applyProtection="1">
      <alignment vertical="center"/>
    </xf>
    <xf numFmtId="0" fontId="2" fillId="0" borderId="16" xfId="0" applyFont="1" applyBorder="1" applyAlignment="1" applyProtection="1">
      <alignment vertical="center"/>
    </xf>
    <xf numFmtId="0" fontId="2" fillId="0" borderId="8" xfId="0" applyFont="1" applyBorder="1" applyAlignment="1" applyProtection="1">
      <alignment vertical="center"/>
    </xf>
    <xf numFmtId="0" fontId="11" fillId="4" borderId="4" xfId="0" applyFont="1" applyFill="1" applyBorder="1" applyAlignment="1" applyProtection="1">
      <alignment horizontal="center" vertical="center" wrapText="1"/>
      <protection locked="0"/>
    </xf>
    <xf numFmtId="0" fontId="2" fillId="0" borderId="0" xfId="0" applyFont="1" applyAlignment="1" applyProtection="1">
      <alignment horizontal="left" vertical="center"/>
    </xf>
    <xf numFmtId="0" fontId="11" fillId="0" borderId="0" xfId="0" applyFont="1" applyBorder="1" applyAlignment="1">
      <alignment horizontal="center" vertical="center"/>
    </xf>
    <xf numFmtId="0" fontId="11" fillId="0" borderId="0" xfId="0" applyFont="1" applyAlignment="1">
      <alignment horizontal="justify"/>
    </xf>
    <xf numFmtId="0" fontId="22" fillId="0" borderId="12" xfId="2" applyBorder="1" applyAlignment="1">
      <alignment horizontal="right"/>
    </xf>
    <xf numFmtId="0" fontId="22" fillId="0" borderId="15" xfId="2" applyBorder="1"/>
    <xf numFmtId="0" fontId="22" fillId="0" borderId="10" xfId="2" applyBorder="1"/>
    <xf numFmtId="164" fontId="22" fillId="0" borderId="0" xfId="2" applyNumberFormat="1" applyBorder="1"/>
    <xf numFmtId="0" fontId="22" fillId="0" borderId="9" xfId="2" applyBorder="1"/>
    <xf numFmtId="164" fontId="22" fillId="2" borderId="0" xfId="2" applyNumberFormat="1" applyFill="1" applyBorder="1"/>
    <xf numFmtId="0" fontId="22" fillId="2" borderId="9" xfId="2" applyFill="1" applyBorder="1"/>
    <xf numFmtId="0" fontId="22" fillId="0" borderId="5" xfId="2" applyBorder="1"/>
    <xf numFmtId="164" fontId="22" fillId="0" borderId="11" xfId="2" applyNumberFormat="1" applyBorder="1"/>
    <xf numFmtId="0" fontId="22" fillId="0" borderId="7" xfId="2" applyBorder="1"/>
    <xf numFmtId="0" fontId="22" fillId="0" borderId="12" xfId="2" applyBorder="1"/>
    <xf numFmtId="0" fontId="22" fillId="0" borderId="0" xfId="2" applyBorder="1"/>
    <xf numFmtId="0" fontId="22" fillId="0" borderId="11" xfId="2" applyBorder="1"/>
    <xf numFmtId="0" fontId="46" fillId="0" borderId="13" xfId="2" applyFont="1" applyBorder="1"/>
    <xf numFmtId="0" fontId="47" fillId="0" borderId="0" xfId="0" applyFont="1" applyFill="1" applyAlignment="1" applyProtection="1">
      <alignment horizontal="center" vertical="center"/>
    </xf>
    <xf numFmtId="0" fontId="47" fillId="0" borderId="0" xfId="0" applyFont="1" applyAlignment="1" applyProtection="1">
      <alignment horizontal="center" vertical="center"/>
    </xf>
    <xf numFmtId="0" fontId="47" fillId="0" borderId="0" xfId="0" applyFont="1" applyFill="1" applyBorder="1" applyAlignment="1" applyProtection="1">
      <alignment vertical="center" wrapText="1"/>
    </xf>
    <xf numFmtId="0" fontId="48" fillId="0" borderId="0" xfId="0" applyFont="1" applyAlignment="1" applyProtection="1">
      <alignment vertical="center"/>
    </xf>
    <xf numFmtId="0" fontId="49" fillId="0" borderId="0" xfId="0" applyFont="1" applyFill="1" applyAlignment="1" applyProtection="1">
      <alignment vertical="center"/>
    </xf>
    <xf numFmtId="0" fontId="48" fillId="0" borderId="0" xfId="0" applyFont="1" applyAlignment="1" applyProtection="1">
      <alignment horizontal="center" vertical="center"/>
    </xf>
    <xf numFmtId="0" fontId="50" fillId="3" borderId="0" xfId="0" applyFont="1" applyFill="1" applyAlignment="1" applyProtection="1">
      <alignment horizontal="center" vertical="center"/>
    </xf>
    <xf numFmtId="0" fontId="50" fillId="0" borderId="0" xfId="0" applyFont="1" applyFill="1" applyAlignment="1" applyProtection="1">
      <alignment horizontal="center" vertical="center"/>
    </xf>
    <xf numFmtId="0" fontId="50" fillId="0" borderId="0" xfId="0" applyFont="1" applyAlignment="1" applyProtection="1">
      <alignment horizontal="center" vertical="center"/>
    </xf>
    <xf numFmtId="0" fontId="49" fillId="0" borderId="0" xfId="0" applyFont="1" applyAlignment="1" applyProtection="1">
      <alignment vertical="center"/>
    </xf>
    <xf numFmtId="0" fontId="49" fillId="0" borderId="0" xfId="0" applyFont="1" applyAlignment="1" applyProtection="1">
      <alignment horizontal="left" vertical="center"/>
    </xf>
    <xf numFmtId="0" fontId="47" fillId="0" borderId="0" xfId="0" applyFont="1" applyAlignment="1" applyProtection="1">
      <alignment vertical="center"/>
    </xf>
    <xf numFmtId="0" fontId="51" fillId="0" borderId="0" xfId="0" applyFont="1" applyAlignment="1" applyProtection="1">
      <alignment horizontal="left" vertical="center"/>
    </xf>
    <xf numFmtId="0" fontId="51" fillId="0" borderId="0" xfId="0" applyFont="1" applyAlignment="1" applyProtection="1">
      <alignment vertical="center"/>
    </xf>
    <xf numFmtId="0" fontId="47" fillId="0" borderId="0" xfId="0" applyFont="1" applyAlignment="1" applyProtection="1">
      <alignment horizontal="left" vertical="center"/>
    </xf>
    <xf numFmtId="0" fontId="47" fillId="0" borderId="0" xfId="0" applyFont="1" applyFill="1" applyAlignment="1" applyProtection="1">
      <alignment vertical="center" wrapText="1"/>
    </xf>
    <xf numFmtId="0" fontId="48" fillId="0" borderId="0" xfId="0" applyFont="1" applyFill="1" applyAlignment="1" applyProtection="1">
      <alignment horizontal="center" vertical="center"/>
    </xf>
    <xf numFmtId="0" fontId="48" fillId="0" borderId="0" xfId="0" applyFont="1" applyFill="1" applyAlignment="1" applyProtection="1">
      <alignment vertical="center"/>
    </xf>
    <xf numFmtId="0" fontId="48" fillId="0" borderId="0" xfId="0" applyFont="1" applyAlignment="1" applyProtection="1">
      <alignment horizontal="left" vertical="center"/>
    </xf>
    <xf numFmtId="0" fontId="49" fillId="0" borderId="0" xfId="0" applyFont="1" applyBorder="1" applyAlignment="1" applyProtection="1">
      <alignment horizontal="left" vertical="center"/>
    </xf>
    <xf numFmtId="0" fontId="47" fillId="0" borderId="0" xfId="0" applyFont="1" applyFill="1" applyAlignment="1" applyProtection="1">
      <alignment horizontal="center" vertical="center" wrapText="1"/>
    </xf>
    <xf numFmtId="0" fontId="52" fillId="0" borderId="0" xfId="0" applyFont="1" applyFill="1" applyAlignment="1" applyProtection="1">
      <alignment horizontal="center" vertical="center"/>
    </xf>
    <xf numFmtId="0" fontId="52" fillId="0" borderId="0" xfId="0" applyFont="1" applyAlignment="1" applyProtection="1">
      <alignment horizontal="center" vertical="center"/>
    </xf>
    <xf numFmtId="0" fontId="11" fillId="4" borderId="4"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Fill="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0" xfId="0" applyFont="1" applyFill="1" applyAlignment="1" applyProtection="1">
      <alignment horizontal="center" vertical="center"/>
    </xf>
    <xf numFmtId="0" fontId="11" fillId="4" borderId="4" xfId="0" applyFont="1" applyFill="1" applyBorder="1" applyAlignment="1" applyProtection="1">
      <alignment horizontal="center" vertical="center" wrapText="1"/>
      <protection locked="0"/>
    </xf>
    <xf numFmtId="0" fontId="2" fillId="0" borderId="0" xfId="0" applyFont="1" applyFill="1" applyAlignment="1" applyProtection="1">
      <alignment vertical="center"/>
    </xf>
    <xf numFmtId="0" fontId="11" fillId="4" borderId="1" xfId="0" applyFont="1" applyFill="1" applyBorder="1" applyAlignment="1" applyProtection="1">
      <alignment horizontal="left" vertical="center" wrapText="1"/>
      <protection locked="0"/>
    </xf>
    <xf numFmtId="0" fontId="11" fillId="4" borderId="3" xfId="0" applyFont="1" applyFill="1" applyBorder="1" applyAlignment="1" applyProtection="1">
      <alignment horizontal="left" vertical="center" wrapText="1"/>
      <protection locked="0"/>
    </xf>
    <xf numFmtId="0" fontId="11" fillId="4" borderId="2"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left" vertical="center" wrapText="1"/>
      <protection locked="0"/>
    </xf>
    <xf numFmtId="0" fontId="11" fillId="2" borderId="2" xfId="0" applyFont="1" applyFill="1" applyBorder="1" applyAlignment="1" applyProtection="1">
      <alignment horizontal="left" vertical="center" wrapText="1"/>
      <protection locked="0"/>
    </xf>
    <xf numFmtId="0" fontId="2" fillId="0" borderId="0" xfId="0" applyFont="1" applyFill="1" applyAlignment="1" applyProtection="1">
      <alignment horizontal="left" vertical="center"/>
    </xf>
    <xf numFmtId="0" fontId="2" fillId="0" borderId="9" xfId="0" applyFont="1" applyFill="1" applyBorder="1" applyAlignment="1" applyProtection="1">
      <alignment horizontal="left" vertical="center"/>
    </xf>
    <xf numFmtId="0" fontId="11" fillId="2" borderId="4"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right" vertical="center" wrapText="1"/>
    </xf>
    <xf numFmtId="0" fontId="2" fillId="0" borderId="0" xfId="0" applyFont="1" applyFill="1" applyBorder="1" applyAlignment="1" applyProtection="1">
      <alignment horizontal="right" vertical="center" wrapText="1"/>
    </xf>
    <xf numFmtId="0" fontId="2" fillId="0" borderId="9" xfId="0" applyFont="1" applyFill="1" applyBorder="1" applyAlignment="1" applyProtection="1">
      <alignment horizontal="right" vertical="center" wrapText="1"/>
    </xf>
    <xf numFmtId="0" fontId="2" fillId="0" borderId="6"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0" xfId="0" applyFont="1" applyBorder="1" applyAlignment="1" applyProtection="1">
      <alignment horizontal="right" vertical="center"/>
    </xf>
    <xf numFmtId="0" fontId="2" fillId="0" borderId="9" xfId="0" applyFont="1" applyBorder="1" applyAlignment="1" applyProtection="1">
      <alignment horizontal="right" vertical="center"/>
    </xf>
    <xf numFmtId="0" fontId="2" fillId="0" borderId="5" xfId="0" applyFont="1" applyBorder="1" applyAlignment="1" applyProtection="1">
      <alignment horizontal="right" vertical="center"/>
    </xf>
    <xf numFmtId="0" fontId="2" fillId="0" borderId="7" xfId="0" applyFont="1" applyBorder="1" applyAlignment="1" applyProtection="1">
      <alignment horizontal="right" vertical="center"/>
    </xf>
    <xf numFmtId="0" fontId="2" fillId="0" borderId="0" xfId="0" applyFont="1" applyFill="1" applyAlignment="1" applyProtection="1">
      <alignment vertical="center"/>
    </xf>
    <xf numFmtId="0" fontId="2" fillId="0" borderId="9" xfId="0" applyFont="1" applyFill="1" applyBorder="1" applyAlignment="1" applyProtection="1">
      <alignment vertical="center"/>
    </xf>
    <xf numFmtId="0" fontId="37" fillId="2" borderId="1"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3" fontId="14" fillId="3" borderId="1" xfId="1" applyNumberFormat="1" applyFont="1" applyFill="1" applyBorder="1" applyAlignment="1" applyProtection="1">
      <alignment horizontal="center" vertical="center"/>
    </xf>
    <xf numFmtId="3" fontId="14" fillId="3" borderId="3" xfId="1" applyNumberFormat="1" applyFont="1" applyFill="1" applyBorder="1" applyAlignment="1" applyProtection="1">
      <alignment horizontal="center" vertical="center"/>
    </xf>
    <xf numFmtId="0" fontId="2" fillId="0" borderId="10" xfId="0" applyFont="1" applyFill="1" applyBorder="1" applyAlignment="1" applyProtection="1">
      <alignment horizontal="center"/>
    </xf>
    <xf numFmtId="0" fontId="2" fillId="0" borderId="9" xfId="0" applyFont="1" applyFill="1" applyBorder="1" applyAlignment="1" applyProtection="1">
      <alignment horizontal="center"/>
    </xf>
    <xf numFmtId="0" fontId="11" fillId="2" borderId="1"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11" fillId="2" borderId="4" xfId="0" applyFont="1" applyFill="1" applyBorder="1" applyAlignment="1" applyProtection="1">
      <alignment horizontal="center" vertical="center" wrapText="1"/>
      <protection locked="0"/>
    </xf>
    <xf numFmtId="0" fontId="11" fillId="4" borderId="4" xfId="0" applyFont="1" applyFill="1" applyBorder="1" applyAlignment="1" applyProtection="1">
      <alignment horizontal="left" vertical="center" wrapText="1"/>
      <protection locked="0"/>
    </xf>
    <xf numFmtId="0" fontId="2" fillId="0" borderId="0" xfId="0" applyFont="1" applyFill="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left" vertical="center" wrapText="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right" vertical="center"/>
    </xf>
    <xf numFmtId="0" fontId="2" fillId="0" borderId="33" xfId="0" applyFont="1" applyFill="1" applyBorder="1" applyAlignment="1" applyProtection="1">
      <alignment horizontal="right" vertical="center"/>
    </xf>
    <xf numFmtId="0" fontId="11" fillId="4" borderId="4"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164" fontId="11" fillId="3" borderId="1" xfId="0" applyNumberFormat="1" applyFont="1" applyFill="1" applyBorder="1" applyAlignment="1" applyProtection="1">
      <alignment horizontal="center" vertical="center" wrapText="1"/>
    </xf>
    <xf numFmtId="164" fontId="11" fillId="3" borderId="2" xfId="0" applyNumberFormat="1" applyFont="1" applyFill="1" applyBorder="1" applyAlignment="1" applyProtection="1">
      <alignment horizontal="center" vertical="center" wrapText="1"/>
    </xf>
    <xf numFmtId="0" fontId="2" fillId="2" borderId="4" xfId="0" applyFont="1" applyFill="1" applyBorder="1" applyAlignment="1" applyProtection="1">
      <alignment horizontal="left" vertical="center" wrapText="1"/>
      <protection locked="0"/>
    </xf>
    <xf numFmtId="164" fontId="11" fillId="2" borderId="4"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xf>
    <xf numFmtId="0" fontId="11" fillId="2" borderId="13"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xf>
    <xf numFmtId="0" fontId="3" fillId="0" borderId="0" xfId="0" applyFont="1" applyAlignment="1" applyProtection="1">
      <alignment horizontal="center" vertical="center"/>
    </xf>
    <xf numFmtId="0" fontId="2" fillId="0" borderId="10"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right" vertical="center" wrapText="1"/>
    </xf>
    <xf numFmtId="0" fontId="2" fillId="0" borderId="12" xfId="0" applyFont="1" applyFill="1" applyBorder="1" applyAlignment="1" applyProtection="1">
      <alignment horizontal="right" vertical="center" wrapText="1"/>
    </xf>
    <xf numFmtId="0" fontId="2" fillId="0" borderId="15" xfId="0" applyFont="1" applyFill="1" applyBorder="1" applyAlignment="1" applyProtection="1">
      <alignment horizontal="right" vertical="center" wrapText="1"/>
    </xf>
    <xf numFmtId="0" fontId="47" fillId="0" borderId="0" xfId="0" applyFont="1" applyFill="1" applyBorder="1" applyAlignment="1" applyProtection="1">
      <alignment horizontal="left" vertical="center" wrapText="1"/>
    </xf>
    <xf numFmtId="0" fontId="11" fillId="2" borderId="10"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4"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2" fillId="0" borderId="9" xfId="0" applyFont="1" applyFill="1" applyBorder="1" applyAlignment="1" applyProtection="1">
      <alignment horizontal="right" vertical="center"/>
    </xf>
    <xf numFmtId="3" fontId="11" fillId="2" borderId="1" xfId="0" applyNumberFormat="1" applyFont="1" applyFill="1" applyBorder="1" applyAlignment="1" applyProtection="1">
      <alignment horizontal="left" vertical="center" wrapText="1"/>
      <protection locked="0"/>
    </xf>
    <xf numFmtId="3" fontId="11" fillId="2" borderId="2" xfId="0" applyNumberFormat="1" applyFont="1" applyFill="1" applyBorder="1" applyAlignment="1" applyProtection="1">
      <alignment horizontal="left" vertical="center" wrapText="1"/>
      <protection locked="0"/>
    </xf>
    <xf numFmtId="0" fontId="2" fillId="0" borderId="5" xfId="0" applyFont="1" applyFill="1" applyBorder="1" applyAlignment="1" applyProtection="1">
      <alignment horizontal="right" vertical="center" wrapText="1"/>
    </xf>
    <xf numFmtId="0" fontId="2" fillId="0" borderId="7" xfId="0" applyFont="1" applyFill="1" applyBorder="1" applyAlignment="1" applyProtection="1">
      <alignment horizontal="right" vertical="center" wrapText="1"/>
    </xf>
    <xf numFmtId="0" fontId="47" fillId="0" borderId="0" xfId="0" applyFont="1" applyFill="1" applyAlignment="1" applyProtection="1">
      <alignment horizontal="center" vertical="center" wrapText="1"/>
    </xf>
    <xf numFmtId="165" fontId="11" fillId="5" borderId="1" xfId="0" applyNumberFormat="1" applyFont="1" applyFill="1" applyBorder="1" applyAlignment="1" applyProtection="1">
      <alignment horizontal="center" vertical="center" wrapText="1"/>
      <protection locked="0"/>
    </xf>
    <xf numFmtId="0" fontId="11" fillId="5" borderId="2" xfId="0" applyFont="1" applyFill="1" applyBorder="1" applyAlignment="1" applyProtection="1">
      <alignment horizontal="center" vertical="center" wrapText="1"/>
      <protection locked="0"/>
    </xf>
    <xf numFmtId="164" fontId="11" fillId="5" borderId="1" xfId="0" applyNumberFormat="1" applyFont="1" applyFill="1" applyBorder="1" applyAlignment="1" applyProtection="1">
      <alignment horizontal="center" vertical="center" wrapText="1"/>
      <protection locked="0"/>
    </xf>
    <xf numFmtId="164" fontId="11" fillId="5" borderId="2"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right" vertical="center"/>
    </xf>
    <xf numFmtId="0" fontId="2" fillId="0" borderId="15" xfId="0" applyFont="1" applyFill="1" applyBorder="1" applyAlignment="1" applyProtection="1">
      <alignment horizontal="right" vertical="center"/>
    </xf>
    <xf numFmtId="0" fontId="11" fillId="2" borderId="3"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xf>
    <xf numFmtId="0" fontId="2" fillId="0" borderId="11" xfId="0" applyFont="1" applyFill="1" applyBorder="1" applyAlignment="1" applyProtection="1">
      <alignment horizontal="right" vertical="center"/>
    </xf>
    <xf numFmtId="0" fontId="2" fillId="0" borderId="7" xfId="0" applyFont="1" applyFill="1" applyBorder="1" applyAlignment="1" applyProtection="1">
      <alignment horizontal="right" vertical="center"/>
    </xf>
    <xf numFmtId="0" fontId="2" fillId="0" borderId="10" xfId="0" applyFont="1" applyFill="1" applyBorder="1" applyAlignment="1" applyProtection="1">
      <alignment horizontal="left" vertical="center"/>
    </xf>
    <xf numFmtId="0" fontId="35" fillId="0" borderId="1" xfId="0" applyFont="1" applyFill="1" applyBorder="1" applyAlignment="1" applyProtection="1">
      <alignment horizontal="center" vertical="center" wrapText="1"/>
    </xf>
    <xf numFmtId="0" fontId="35" fillId="0" borderId="3" xfId="0" applyFont="1" applyFill="1" applyBorder="1" applyAlignment="1" applyProtection="1">
      <alignment horizontal="center" vertical="center" wrapText="1"/>
    </xf>
    <xf numFmtId="0" fontId="35" fillId="0" borderId="2"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xf>
    <xf numFmtId="0" fontId="11" fillId="2" borderId="6" xfId="0" applyFont="1" applyFill="1" applyBorder="1" applyAlignment="1" applyProtection="1">
      <alignment horizontal="left" vertical="center" wrapText="1"/>
      <protection locked="0"/>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11" fillId="5" borderId="1"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11" fillId="11" borderId="1" xfId="0" applyFont="1" applyFill="1" applyBorder="1" applyAlignment="1" applyProtection="1">
      <alignment horizontal="center" vertical="center" wrapText="1"/>
    </xf>
    <xf numFmtId="0" fontId="11" fillId="11" borderId="2" xfId="0" applyFont="1" applyFill="1" applyBorder="1" applyAlignment="1" applyProtection="1">
      <alignment horizontal="center" vertical="center" wrapText="1"/>
    </xf>
    <xf numFmtId="0" fontId="2" fillId="0" borderId="3" xfId="0" applyFont="1" applyFill="1" applyBorder="1" applyAlignment="1" applyProtection="1">
      <alignment horizontal="right" vertical="center"/>
    </xf>
    <xf numFmtId="0" fontId="2" fillId="0" borderId="2" xfId="0"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2" fontId="11" fillId="3" borderId="1" xfId="0" applyNumberFormat="1" applyFont="1" applyFill="1" applyBorder="1" applyAlignment="1" applyProtection="1">
      <alignment horizontal="center" vertical="center" wrapText="1"/>
    </xf>
    <xf numFmtId="2" fontId="11" fillId="3" borderId="2" xfId="0" applyNumberFormat="1" applyFont="1" applyFill="1" applyBorder="1" applyAlignment="1" applyProtection="1">
      <alignment horizontal="center" vertical="center" wrapText="1"/>
    </xf>
    <xf numFmtId="164" fontId="11" fillId="2" borderId="1" xfId="0" applyNumberFormat="1" applyFont="1" applyFill="1" applyBorder="1" applyAlignment="1" applyProtection="1">
      <alignment horizontal="center" vertical="center" wrapText="1"/>
      <protection locked="0"/>
    </xf>
    <xf numFmtId="164" fontId="11" fillId="2" borderId="2" xfId="0" applyNumberFormat="1" applyFont="1" applyFill="1" applyBorder="1" applyAlignment="1" applyProtection="1">
      <alignment horizontal="center" vertical="center" wrapText="1"/>
      <protection locked="0"/>
    </xf>
    <xf numFmtId="164" fontId="11" fillId="3" borderId="1" xfId="0" applyNumberFormat="1" applyFont="1" applyFill="1" applyBorder="1" applyAlignment="1" applyProtection="1">
      <alignment horizontal="left" vertical="center" wrapText="1"/>
    </xf>
    <xf numFmtId="164" fontId="11" fillId="3" borderId="3" xfId="0" applyNumberFormat="1" applyFont="1" applyFill="1" applyBorder="1" applyAlignment="1" applyProtection="1">
      <alignment horizontal="left" vertical="center" wrapText="1"/>
    </xf>
    <xf numFmtId="164" fontId="11" fillId="3" borderId="2" xfId="0" applyNumberFormat="1"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protection locked="0"/>
    </xf>
    <xf numFmtId="0" fontId="11" fillId="3" borderId="3"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xf>
    <xf numFmtId="0" fontId="11" fillId="2" borderId="5"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2" fillId="0" borderId="12" xfId="0" applyFont="1" applyBorder="1" applyAlignment="1" applyProtection="1">
      <alignment horizontal="right" vertical="center"/>
    </xf>
    <xf numFmtId="3" fontId="11" fillId="11" borderId="1" xfId="0" applyNumberFormat="1" applyFont="1" applyFill="1" applyBorder="1" applyAlignment="1" applyProtection="1">
      <alignment horizontal="center" vertical="center" wrapText="1"/>
    </xf>
    <xf numFmtId="3" fontId="11" fillId="11" borderId="2" xfId="0" applyNumberFormat="1" applyFont="1" applyFill="1" applyBorder="1" applyAlignment="1" applyProtection="1">
      <alignment horizontal="center" vertical="center" wrapText="1"/>
    </xf>
    <xf numFmtId="3" fontId="11" fillId="2" borderId="1" xfId="0" applyNumberFormat="1" applyFont="1" applyFill="1" applyBorder="1" applyAlignment="1" applyProtection="1">
      <alignment horizontal="center" vertical="center" wrapText="1"/>
      <protection locked="0"/>
    </xf>
    <xf numFmtId="3" fontId="11" fillId="2" borderId="2" xfId="0" applyNumberFormat="1" applyFont="1" applyFill="1" applyBorder="1" applyAlignment="1" applyProtection="1">
      <alignment horizontal="center" vertical="center" wrapText="1"/>
      <protection locked="0"/>
    </xf>
    <xf numFmtId="0" fontId="24" fillId="0" borderId="11" xfId="0" applyFont="1" applyFill="1" applyBorder="1" applyAlignment="1" applyProtection="1">
      <alignment horizontal="center" vertical="center" wrapText="1"/>
    </xf>
    <xf numFmtId="4" fontId="11" fillId="3" borderId="13" xfId="0" applyNumberFormat="1" applyFont="1" applyFill="1" applyBorder="1" applyAlignment="1" applyProtection="1">
      <alignment horizontal="center" vertical="center" wrapText="1"/>
    </xf>
    <xf numFmtId="4" fontId="11" fillId="3" borderId="15" xfId="0" applyNumberFormat="1" applyFont="1" applyFill="1" applyBorder="1" applyAlignment="1" applyProtection="1">
      <alignment horizontal="center" vertical="center" wrapText="1"/>
    </xf>
    <xf numFmtId="165" fontId="11" fillId="3" borderId="1" xfId="0" applyNumberFormat="1" applyFont="1" applyFill="1" applyBorder="1" applyAlignment="1" applyProtection="1">
      <alignment horizontal="center" vertical="center" wrapText="1"/>
    </xf>
    <xf numFmtId="165" fontId="11" fillId="3" borderId="2" xfId="0" applyNumberFormat="1" applyFont="1" applyFill="1" applyBorder="1" applyAlignment="1" applyProtection="1">
      <alignment horizontal="center" vertical="center" wrapText="1"/>
    </xf>
    <xf numFmtId="165" fontId="11" fillId="2" borderId="1" xfId="0" applyNumberFormat="1" applyFont="1" applyFill="1" applyBorder="1" applyAlignment="1" applyProtection="1">
      <alignment horizontal="center" vertical="center" wrapText="1"/>
      <protection locked="0"/>
    </xf>
    <xf numFmtId="165" fontId="11" fillId="2" borderId="2"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xf>
    <xf numFmtId="0" fontId="2" fillId="0" borderId="9" xfId="0" applyFont="1" applyBorder="1" applyAlignment="1" applyProtection="1">
      <alignment horizontal="center" vertical="center"/>
    </xf>
    <xf numFmtId="167" fontId="11" fillId="11" borderId="1" xfId="0" applyNumberFormat="1" applyFont="1" applyFill="1" applyBorder="1" applyAlignment="1" applyProtection="1">
      <alignment horizontal="center" vertical="center" wrapText="1"/>
    </xf>
    <xf numFmtId="167" fontId="11" fillId="11" borderId="2" xfId="0" applyNumberFormat="1" applyFont="1" applyFill="1" applyBorder="1" applyAlignment="1" applyProtection="1">
      <alignment horizontal="center" vertical="center" wrapText="1"/>
    </xf>
    <xf numFmtId="165" fontId="11" fillId="11" borderId="1" xfId="0" applyNumberFormat="1" applyFont="1" applyFill="1" applyBorder="1" applyAlignment="1" applyProtection="1">
      <alignment horizontal="center" vertical="center" wrapText="1"/>
    </xf>
    <xf numFmtId="165" fontId="11" fillId="11" borderId="2" xfId="0" applyNumberFormat="1" applyFont="1" applyFill="1" applyBorder="1" applyAlignment="1" applyProtection="1">
      <alignment horizontal="center" vertical="center" wrapText="1"/>
    </xf>
    <xf numFmtId="0" fontId="2" fillId="0" borderId="10" xfId="0" quotePrefix="1" applyFont="1" applyFill="1" applyBorder="1" applyAlignment="1" applyProtection="1">
      <alignment horizontal="center" vertical="center" wrapText="1"/>
    </xf>
    <xf numFmtId="3" fontId="11" fillId="3" borderId="1" xfId="0" applyNumberFormat="1" applyFont="1" applyFill="1" applyBorder="1" applyAlignment="1" applyProtection="1">
      <alignment horizontal="center" vertical="center" wrapText="1"/>
    </xf>
    <xf numFmtId="3" fontId="11" fillId="3" borderId="2" xfId="0" applyNumberFormat="1" applyFont="1" applyFill="1" applyBorder="1" applyAlignment="1" applyProtection="1">
      <alignment horizontal="center" vertical="center" wrapText="1"/>
    </xf>
    <xf numFmtId="2" fontId="11" fillId="2" borderId="1" xfId="0" applyNumberFormat="1" applyFont="1" applyFill="1" applyBorder="1" applyAlignment="1" applyProtection="1">
      <alignment horizontal="center" vertical="center" wrapText="1"/>
      <protection locked="0"/>
    </xf>
    <xf numFmtId="2" fontId="11" fillId="2" borderId="2"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9" xfId="0" applyFont="1" applyBorder="1" applyAlignment="1" applyProtection="1">
      <alignment horizontal="left" vertical="center"/>
    </xf>
    <xf numFmtId="0" fontId="2" fillId="0" borderId="3" xfId="0" applyFont="1" applyFill="1" applyBorder="1" applyAlignment="1" applyProtection="1">
      <alignment horizontal="center" vertical="center" wrapText="1"/>
    </xf>
    <xf numFmtId="0" fontId="2" fillId="0" borderId="0" xfId="0" applyFont="1" applyBorder="1" applyAlignment="1" applyProtection="1">
      <alignment horizontal="right" vertical="center"/>
    </xf>
    <xf numFmtId="0" fontId="11" fillId="2" borderId="8" xfId="0" applyFont="1" applyFill="1" applyBorder="1" applyAlignment="1" applyProtection="1">
      <alignment horizontal="left" vertical="center" wrapText="1"/>
      <protection locked="0"/>
    </xf>
    <xf numFmtId="0" fontId="11" fillId="0" borderId="15" xfId="0" applyFont="1" applyBorder="1" applyProtection="1">
      <protection locked="0"/>
    </xf>
    <xf numFmtId="0" fontId="11" fillId="5" borderId="4"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xf>
    <xf numFmtId="0" fontId="11" fillId="11" borderId="4" xfId="0" applyFont="1" applyFill="1" applyBorder="1" applyAlignment="1" applyProtection="1">
      <alignment horizontal="left" vertical="center" wrapText="1"/>
    </xf>
    <xf numFmtId="165" fontId="11" fillId="11" borderId="4" xfId="0" applyNumberFormat="1" applyFont="1" applyFill="1" applyBorder="1" applyAlignment="1" applyProtection="1">
      <alignment horizontal="center" vertical="center"/>
    </xf>
    <xf numFmtId="3" fontId="11" fillId="11" borderId="5" xfId="0" applyNumberFormat="1" applyFont="1" applyFill="1" applyBorder="1" applyAlignment="1" applyProtection="1">
      <alignment horizontal="center" vertical="center"/>
    </xf>
    <xf numFmtId="3" fontId="11" fillId="11" borderId="7" xfId="0" applyNumberFormat="1" applyFont="1" applyFill="1" applyBorder="1" applyAlignment="1" applyProtection="1">
      <alignment horizontal="center" vertical="center"/>
    </xf>
    <xf numFmtId="3" fontId="11" fillId="11" borderId="1" xfId="0" applyNumberFormat="1" applyFont="1" applyFill="1" applyBorder="1" applyAlignment="1" applyProtection="1">
      <alignment horizontal="center" vertical="center"/>
    </xf>
    <xf numFmtId="3" fontId="11" fillId="11" borderId="2" xfId="0" applyNumberFormat="1" applyFont="1" applyFill="1" applyBorder="1" applyAlignment="1" applyProtection="1">
      <alignment horizontal="center" vertical="center"/>
    </xf>
    <xf numFmtId="165" fontId="11" fillId="11" borderId="5" xfId="0" applyNumberFormat="1" applyFont="1" applyFill="1" applyBorder="1" applyAlignment="1" applyProtection="1">
      <alignment horizontal="center" vertical="center"/>
    </xf>
    <xf numFmtId="165" fontId="11" fillId="11" borderId="7" xfId="0" applyNumberFormat="1" applyFont="1" applyFill="1" applyBorder="1" applyAlignment="1" applyProtection="1">
      <alignment horizontal="center" vertical="center"/>
    </xf>
    <xf numFmtId="0" fontId="11" fillId="0" borderId="7" xfId="0" applyFont="1" applyBorder="1" applyProtection="1">
      <protection locked="0"/>
    </xf>
    <xf numFmtId="168" fontId="11" fillId="3" borderId="1" xfId="0" applyNumberFormat="1" applyFont="1" applyFill="1" applyBorder="1" applyAlignment="1" applyProtection="1">
      <alignment horizontal="center" vertical="center" wrapText="1"/>
    </xf>
    <xf numFmtId="168" fontId="11" fillId="3" borderId="2" xfId="0" applyNumberFormat="1"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4" fontId="11" fillId="11" borderId="1" xfId="0" applyNumberFormat="1" applyFont="1" applyFill="1" applyBorder="1" applyAlignment="1" applyProtection="1">
      <alignment horizontal="center" vertical="center" wrapText="1"/>
    </xf>
    <xf numFmtId="4" fontId="11" fillId="11" borderId="2" xfId="0" applyNumberFormat="1" applyFont="1" applyFill="1" applyBorder="1" applyAlignment="1" applyProtection="1">
      <alignment horizontal="center" vertical="center" wrapText="1"/>
    </xf>
    <xf numFmtId="4" fontId="11" fillId="3" borderId="1" xfId="0" applyNumberFormat="1" applyFont="1" applyFill="1" applyBorder="1" applyAlignment="1" applyProtection="1">
      <alignment horizontal="center" vertical="center" wrapText="1"/>
    </xf>
    <xf numFmtId="4" fontId="11" fillId="3" borderId="2" xfId="0" applyNumberFormat="1" applyFont="1" applyFill="1" applyBorder="1" applyAlignment="1" applyProtection="1">
      <alignment horizontal="center" vertical="center" wrapText="1"/>
    </xf>
    <xf numFmtId="166" fontId="11" fillId="11" borderId="13" xfId="0" applyNumberFormat="1" applyFont="1" applyFill="1" applyBorder="1" applyAlignment="1" applyProtection="1">
      <alignment horizontal="center" vertical="center" wrapText="1"/>
    </xf>
    <xf numFmtId="166" fontId="11" fillId="11" borderId="15" xfId="0" applyNumberFormat="1" applyFont="1" applyFill="1" applyBorder="1" applyAlignment="1" applyProtection="1">
      <alignment horizontal="center" vertical="center" wrapText="1"/>
    </xf>
    <xf numFmtId="165" fontId="11" fillId="2" borderId="3" xfId="0" applyNumberFormat="1" applyFont="1" applyFill="1" applyBorder="1" applyAlignment="1" applyProtection="1">
      <alignment horizontal="center" vertical="center" wrapText="1"/>
      <protection locked="0"/>
    </xf>
    <xf numFmtId="166" fontId="11" fillId="11" borderId="1" xfId="0" applyNumberFormat="1" applyFont="1" applyFill="1" applyBorder="1" applyAlignment="1" applyProtection="1">
      <alignment horizontal="center" vertical="center" wrapText="1"/>
    </xf>
    <xf numFmtId="166" fontId="11" fillId="11" borderId="2" xfId="0" applyNumberFormat="1" applyFont="1" applyFill="1" applyBorder="1" applyAlignment="1" applyProtection="1">
      <alignment horizontal="center" vertical="center" wrapText="1"/>
    </xf>
    <xf numFmtId="4" fontId="11" fillId="11" borderId="5" xfId="0" applyNumberFormat="1" applyFont="1" applyFill="1" applyBorder="1" applyAlignment="1" applyProtection="1">
      <alignment horizontal="center" vertical="center" wrapText="1"/>
    </xf>
    <xf numFmtId="4" fontId="11" fillId="11" borderId="7" xfId="0" applyNumberFormat="1" applyFont="1" applyFill="1" applyBorder="1" applyAlignment="1" applyProtection="1">
      <alignment horizontal="center" vertical="center" wrapText="1"/>
    </xf>
    <xf numFmtId="3" fontId="11" fillId="5" borderId="1" xfId="0" applyNumberFormat="1" applyFont="1" applyFill="1" applyBorder="1" applyAlignment="1" applyProtection="1">
      <alignment horizontal="center" vertical="center" wrapText="1"/>
      <protection locked="0"/>
    </xf>
    <xf numFmtId="3" fontId="11" fillId="5" borderId="2" xfId="0" applyNumberFormat="1" applyFont="1" applyFill="1" applyBorder="1" applyAlignment="1" applyProtection="1">
      <alignment horizontal="center" vertical="center" wrapText="1"/>
      <protection locked="0"/>
    </xf>
    <xf numFmtId="0" fontId="0" fillId="0" borderId="0" xfId="0" applyProtection="1"/>
    <xf numFmtId="0" fontId="0" fillId="0" borderId="9" xfId="0" applyBorder="1" applyProtection="1"/>
    <xf numFmtId="0" fontId="11" fillId="5" borderId="1" xfId="0" applyFont="1" applyFill="1" applyBorder="1" applyAlignment="1" applyProtection="1">
      <alignment horizontal="left" vertical="center" wrapText="1"/>
      <protection locked="0"/>
    </xf>
    <xf numFmtId="0" fontId="11" fillId="5" borderId="3"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166" fontId="11" fillId="3" borderId="1" xfId="0" applyNumberFormat="1" applyFont="1" applyFill="1" applyBorder="1" applyAlignment="1" applyProtection="1">
      <alignment horizontal="center" vertical="center"/>
    </xf>
    <xf numFmtId="166" fontId="11" fillId="3" borderId="2" xfId="0" applyNumberFormat="1" applyFont="1" applyFill="1" applyBorder="1" applyAlignment="1" applyProtection="1">
      <alignment horizontal="center" vertical="center"/>
    </xf>
    <xf numFmtId="166" fontId="11" fillId="3" borderId="1" xfId="0" applyNumberFormat="1" applyFont="1" applyFill="1" applyBorder="1" applyAlignment="1" applyProtection="1">
      <alignment horizontal="center" vertical="center" wrapText="1"/>
    </xf>
    <xf numFmtId="166" fontId="11" fillId="3" borderId="2" xfId="0" applyNumberFormat="1"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11" fillId="2" borderId="11" xfId="0" applyFont="1" applyFill="1" applyBorder="1" applyAlignment="1" applyProtection="1">
      <alignment horizontal="left" vertical="center" wrapText="1"/>
      <protection locked="0"/>
    </xf>
    <xf numFmtId="0" fontId="11" fillId="2" borderId="7"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center" vertical="center"/>
    </xf>
    <xf numFmtId="1" fontId="20" fillId="3" borderId="14" xfId="1" applyNumberFormat="1" applyFont="1" applyFill="1" applyBorder="1" applyAlignment="1" applyProtection="1">
      <alignment horizontal="center" vertical="center"/>
    </xf>
    <xf numFmtId="1" fontId="20" fillId="3" borderId="19" xfId="1" applyNumberFormat="1" applyFont="1" applyFill="1" applyBorder="1" applyAlignment="1" applyProtection="1">
      <alignment horizontal="center" vertical="center"/>
    </xf>
    <xf numFmtId="3" fontId="20" fillId="3" borderId="14" xfId="1" applyNumberFormat="1" applyFont="1" applyFill="1" applyBorder="1" applyAlignment="1" applyProtection="1">
      <alignment horizontal="center" vertical="center"/>
    </xf>
    <xf numFmtId="3" fontId="20" fillId="3" borderId="19" xfId="1"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3"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2" fontId="13" fillId="3" borderId="6" xfId="1" applyNumberFormat="1" applyFont="1" applyFill="1" applyBorder="1" applyAlignment="1" applyProtection="1">
      <alignment horizontal="center" vertical="center"/>
    </xf>
    <xf numFmtId="3" fontId="11" fillId="0" borderId="38" xfId="0" applyNumberFormat="1" applyFont="1" applyFill="1" applyBorder="1" applyAlignment="1" applyProtection="1">
      <alignment horizontal="center" vertical="center" wrapText="1"/>
    </xf>
    <xf numFmtId="3" fontId="11" fillId="0" borderId="22" xfId="0" applyNumberFormat="1" applyFont="1" applyFill="1" applyBorder="1" applyAlignment="1" applyProtection="1">
      <alignment horizontal="center" vertical="center" wrapText="1"/>
    </xf>
    <xf numFmtId="0" fontId="11" fillId="4" borderId="4" xfId="0" applyFont="1" applyFill="1" applyBorder="1" applyAlignment="1" applyProtection="1">
      <alignment vertical="center" wrapText="1"/>
      <protection locked="0"/>
    </xf>
    <xf numFmtId="0" fontId="2" fillId="0" borderId="9" xfId="0" applyFont="1" applyFill="1" applyBorder="1" applyAlignment="1" applyProtection="1">
      <alignment horizontal="center" vertical="center"/>
    </xf>
    <xf numFmtId="1" fontId="13" fillId="3" borderId="4" xfId="1" applyNumberFormat="1" applyFont="1" applyFill="1" applyBorder="1" applyAlignment="1" applyProtection="1">
      <alignment horizontal="center" vertical="center"/>
    </xf>
    <xf numFmtId="164" fontId="13" fillId="3" borderId="4" xfId="1" applyNumberFormat="1" applyFont="1" applyFill="1" applyBorder="1" applyAlignment="1" applyProtection="1">
      <alignment horizontal="center" vertical="center"/>
    </xf>
    <xf numFmtId="3" fontId="13" fillId="3" borderId="6" xfId="1" applyNumberFormat="1" applyFont="1" applyFill="1" applyBorder="1" applyAlignment="1" applyProtection="1">
      <alignment horizontal="center" vertical="center"/>
    </xf>
    <xf numFmtId="3" fontId="20" fillId="3" borderId="39" xfId="1" applyNumberFormat="1" applyFont="1" applyFill="1" applyBorder="1" applyAlignment="1" applyProtection="1">
      <alignment horizontal="center" vertical="center"/>
    </xf>
    <xf numFmtId="3" fontId="20" fillId="3" borderId="40" xfId="1" applyNumberFormat="1" applyFont="1" applyFill="1" applyBorder="1" applyAlignment="1" applyProtection="1">
      <alignment horizontal="center" vertical="center"/>
    </xf>
    <xf numFmtId="3" fontId="11" fillId="0" borderId="12" xfId="0" applyNumberFormat="1" applyFont="1" applyFill="1" applyBorder="1" applyAlignment="1" applyProtection="1">
      <alignment horizontal="center" vertical="center" wrapText="1"/>
    </xf>
    <xf numFmtId="3" fontId="11" fillId="0" borderId="37" xfId="0" applyNumberFormat="1" applyFont="1" applyFill="1" applyBorder="1" applyAlignment="1" applyProtection="1">
      <alignment horizontal="center" vertical="center" wrapText="1"/>
    </xf>
    <xf numFmtId="3" fontId="13" fillId="3" borderId="5" xfId="1" applyNumberFormat="1" applyFont="1" applyFill="1" applyBorder="1" applyAlignment="1" applyProtection="1">
      <alignment horizontal="center" vertical="center"/>
    </xf>
    <xf numFmtId="3" fontId="13" fillId="3" borderId="7" xfId="1" applyNumberFormat="1" applyFont="1" applyFill="1" applyBorder="1" applyAlignment="1" applyProtection="1">
      <alignment horizontal="center" vertical="center"/>
    </xf>
    <xf numFmtId="2" fontId="13" fillId="3" borderId="5" xfId="1" applyNumberFormat="1" applyFont="1" applyFill="1" applyBorder="1" applyAlignment="1" applyProtection="1">
      <alignment horizontal="center" vertical="center"/>
    </xf>
    <xf numFmtId="2" fontId="13" fillId="3" borderId="7" xfId="1" applyNumberFormat="1" applyFont="1" applyFill="1" applyBorder="1" applyAlignment="1" applyProtection="1">
      <alignment horizontal="center" vertical="center"/>
    </xf>
    <xf numFmtId="3" fontId="13" fillId="3" borderId="10" xfId="1" applyNumberFormat="1" applyFont="1" applyFill="1" applyBorder="1" applyAlignment="1" applyProtection="1">
      <alignment horizontal="center" vertical="center"/>
    </xf>
    <xf numFmtId="3" fontId="13" fillId="3" borderId="9" xfId="1" applyNumberFormat="1" applyFont="1" applyFill="1" applyBorder="1" applyAlignment="1" applyProtection="1">
      <alignment horizontal="center" vertical="center"/>
    </xf>
    <xf numFmtId="2" fontId="13" fillId="3" borderId="10" xfId="1" applyNumberFormat="1" applyFont="1" applyFill="1" applyBorder="1" applyAlignment="1" applyProtection="1">
      <alignment horizontal="center" vertical="center"/>
    </xf>
    <xf numFmtId="2" fontId="13" fillId="3" borderId="9" xfId="1" applyNumberFormat="1" applyFont="1" applyFill="1" applyBorder="1" applyAlignment="1" applyProtection="1">
      <alignment horizontal="center" vertical="center"/>
    </xf>
    <xf numFmtId="0" fontId="13" fillId="2" borderId="13" xfId="1" applyFont="1" applyFill="1" applyBorder="1" applyAlignment="1" applyProtection="1">
      <alignment horizontal="center" vertical="center"/>
      <protection locked="0"/>
    </xf>
    <xf numFmtId="0" fontId="13" fillId="2" borderId="15" xfId="1" applyFont="1" applyFill="1" applyBorder="1" applyAlignment="1" applyProtection="1">
      <alignment horizontal="center" vertical="center"/>
      <protection locked="0"/>
    </xf>
    <xf numFmtId="164" fontId="13" fillId="3" borderId="5" xfId="1" applyNumberFormat="1" applyFont="1" applyFill="1" applyBorder="1" applyAlignment="1" applyProtection="1">
      <alignment horizontal="center" vertical="center"/>
    </xf>
    <xf numFmtId="164" fontId="13" fillId="3" borderId="7" xfId="1" applyNumberFormat="1" applyFont="1" applyFill="1" applyBorder="1" applyAlignment="1" applyProtection="1">
      <alignment horizontal="center" vertical="center"/>
    </xf>
    <xf numFmtId="164" fontId="13" fillId="3" borderId="10" xfId="1" applyNumberFormat="1" applyFont="1" applyFill="1" applyBorder="1" applyAlignment="1" applyProtection="1">
      <alignment horizontal="center" vertical="center"/>
    </xf>
    <xf numFmtId="164" fontId="13" fillId="3" borderId="9" xfId="1" applyNumberFormat="1" applyFont="1" applyFill="1" applyBorder="1" applyAlignment="1" applyProtection="1">
      <alignment horizontal="center" vertical="center"/>
    </xf>
    <xf numFmtId="0" fontId="11" fillId="0" borderId="13"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3" fontId="13" fillId="2" borderId="4" xfId="1" applyNumberFormat="1" applyFont="1" applyFill="1" applyBorder="1" applyAlignment="1" applyProtection="1">
      <alignment horizontal="center" vertical="center"/>
      <protection locked="0"/>
    </xf>
    <xf numFmtId="2" fontId="13" fillId="2" borderId="4" xfId="1" applyNumberFormat="1" applyFont="1" applyFill="1" applyBorder="1" applyAlignment="1" applyProtection="1">
      <alignment horizontal="center" vertical="center"/>
      <protection locked="0"/>
    </xf>
    <xf numFmtId="3" fontId="11" fillId="3" borderId="4" xfId="0" applyNumberFormat="1" applyFont="1" applyFill="1" applyBorder="1" applyAlignment="1" applyProtection="1">
      <alignment horizontal="center" vertical="center" wrapText="1"/>
    </xf>
    <xf numFmtId="165" fontId="11" fillId="0" borderId="13" xfId="0" applyNumberFormat="1" applyFont="1" applyFill="1" applyBorder="1" applyAlignment="1" applyProtection="1">
      <alignment horizontal="center" vertical="center" wrapText="1"/>
    </xf>
    <xf numFmtId="165" fontId="11" fillId="0" borderId="12" xfId="0" applyNumberFormat="1"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3" fontId="13" fillId="3" borderId="13" xfId="1" applyNumberFormat="1" applyFont="1" applyFill="1" applyBorder="1" applyAlignment="1" applyProtection="1">
      <alignment horizontal="center" vertical="center"/>
    </xf>
    <xf numFmtId="3" fontId="13" fillId="3" borderId="15" xfId="1" applyNumberFormat="1" applyFont="1" applyFill="1" applyBorder="1" applyAlignment="1" applyProtection="1">
      <alignment horizontal="center" vertical="center"/>
    </xf>
    <xf numFmtId="2" fontId="13" fillId="3" borderId="13" xfId="1" applyNumberFormat="1" applyFont="1" applyFill="1" applyBorder="1" applyAlignment="1" applyProtection="1">
      <alignment horizontal="center" vertical="center"/>
    </xf>
    <xf numFmtId="2" fontId="13" fillId="3" borderId="15" xfId="1" applyNumberFormat="1" applyFont="1" applyFill="1" applyBorder="1" applyAlignment="1" applyProtection="1">
      <alignment horizontal="center" vertical="center"/>
    </xf>
    <xf numFmtId="164" fontId="13" fillId="3" borderId="13" xfId="1" applyNumberFormat="1" applyFont="1" applyFill="1" applyBorder="1" applyAlignment="1" applyProtection="1">
      <alignment horizontal="center" vertical="center"/>
    </xf>
    <xf numFmtId="164" fontId="13" fillId="3" borderId="15" xfId="1" applyNumberFormat="1" applyFont="1" applyFill="1" applyBorder="1" applyAlignment="1" applyProtection="1">
      <alignment horizontal="center" vertical="center"/>
    </xf>
    <xf numFmtId="0" fontId="6" fillId="0" borderId="11"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12" xfId="1" applyFont="1" applyFill="1" applyBorder="1" applyAlignment="1" applyProtection="1">
      <alignment horizontal="center" vertical="center"/>
    </xf>
    <xf numFmtId="2" fontId="6" fillId="0" borderId="12" xfId="1" applyNumberFormat="1" applyFont="1" applyFill="1" applyBorder="1" applyAlignment="1" applyProtection="1">
      <alignment horizontal="center" vertical="center"/>
    </xf>
    <xf numFmtId="17" fontId="2" fillId="12" borderId="1" xfId="0" applyNumberFormat="1" applyFont="1" applyFill="1" applyBorder="1" applyAlignment="1" applyProtection="1">
      <alignment horizontal="center" vertical="center" wrapText="1"/>
    </xf>
    <xf numFmtId="17" fontId="2" fillId="12" borderId="3" xfId="0" applyNumberFormat="1" applyFont="1" applyFill="1" applyBorder="1" applyAlignment="1" applyProtection="1">
      <alignment horizontal="center" vertical="center" wrapText="1"/>
    </xf>
    <xf numFmtId="17" fontId="2" fillId="12" borderId="2" xfId="0" applyNumberFormat="1" applyFont="1" applyFill="1" applyBorder="1" applyAlignment="1" applyProtection="1">
      <alignment horizontal="center" vertical="center" wrapText="1"/>
    </xf>
    <xf numFmtId="2" fontId="13" fillId="2" borderId="1"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13" fillId="3" borderId="1" xfId="1" applyNumberFormat="1" applyFont="1" applyFill="1" applyBorder="1" applyAlignment="1" applyProtection="1">
      <alignment horizontal="center" vertical="center"/>
    </xf>
    <xf numFmtId="164" fontId="13" fillId="3" borderId="2" xfId="1" applyNumberFormat="1" applyFont="1" applyFill="1" applyBorder="1" applyAlignment="1" applyProtection="1">
      <alignment horizontal="center" vertical="center"/>
    </xf>
    <xf numFmtId="3" fontId="13" fillId="3" borderId="1" xfId="1" applyNumberFormat="1" applyFont="1" applyFill="1" applyBorder="1" applyAlignment="1" applyProtection="1">
      <alignment horizontal="center" vertical="center"/>
    </xf>
    <xf numFmtId="3" fontId="13" fillId="3" borderId="2" xfId="1" applyNumberFormat="1" applyFont="1" applyFill="1" applyBorder="1" applyAlignment="1" applyProtection="1">
      <alignment horizontal="center" vertical="center"/>
    </xf>
    <xf numFmtId="3" fontId="13" fillId="3" borderId="4" xfId="1" applyNumberFormat="1" applyFont="1" applyFill="1" applyBorder="1" applyAlignment="1" applyProtection="1">
      <alignment horizontal="center" vertical="center"/>
    </xf>
    <xf numFmtId="0" fontId="11" fillId="5" borderId="3" xfId="0" applyFont="1" applyFill="1" applyBorder="1" applyAlignment="1" applyProtection="1">
      <alignment horizontal="center" vertical="center" wrapText="1"/>
      <protection locked="0"/>
    </xf>
    <xf numFmtId="3" fontId="13" fillId="2" borderId="1" xfId="1" applyNumberFormat="1" applyFont="1" applyFill="1" applyBorder="1" applyAlignment="1" applyProtection="1">
      <alignment horizontal="center" vertical="center"/>
      <protection locked="0"/>
    </xf>
    <xf numFmtId="3" fontId="13" fillId="2" borderId="2" xfId="1" applyNumberFormat="1" applyFont="1" applyFill="1" applyBorder="1" applyAlignment="1" applyProtection="1">
      <alignment horizontal="center" vertical="center"/>
      <protection locked="0"/>
    </xf>
    <xf numFmtId="4" fontId="13" fillId="5" borderId="1" xfId="1" applyNumberFormat="1" applyFont="1" applyFill="1" applyBorder="1" applyAlignment="1" applyProtection="1">
      <alignment horizontal="center" vertical="center"/>
      <protection locked="0"/>
    </xf>
    <xf numFmtId="4" fontId="13" fillId="5" borderId="2" xfId="1" applyNumberFormat="1"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wrapText="1"/>
      <protection locked="0"/>
    </xf>
    <xf numFmtId="3" fontId="11" fillId="3" borderId="50" xfId="0" applyNumberFormat="1" applyFont="1" applyFill="1" applyBorder="1" applyAlignment="1" applyProtection="1">
      <alignment horizontal="center" vertical="center" wrapText="1"/>
    </xf>
    <xf numFmtId="3" fontId="11" fillId="3" borderId="51" xfId="0" applyNumberFormat="1" applyFont="1" applyFill="1" applyBorder="1" applyAlignment="1" applyProtection="1">
      <alignment horizontal="center" vertical="center" wrapText="1"/>
    </xf>
    <xf numFmtId="0" fontId="13" fillId="3" borderId="17" xfId="0" applyFont="1" applyFill="1" applyBorder="1" applyAlignment="1" applyProtection="1">
      <alignment horizontal="center" vertical="center" wrapText="1"/>
    </xf>
    <xf numFmtId="0" fontId="13" fillId="3" borderId="25" xfId="0" applyFont="1" applyFill="1" applyBorder="1" applyAlignment="1" applyProtection="1">
      <alignment horizontal="center" vertical="center" wrapText="1"/>
    </xf>
    <xf numFmtId="2" fontId="13" fillId="3" borderId="1" xfId="1" applyNumberFormat="1" applyFont="1" applyFill="1" applyBorder="1" applyAlignment="1" applyProtection="1">
      <alignment horizontal="center" vertical="center"/>
    </xf>
    <xf numFmtId="2" fontId="13" fillId="3" borderId="2" xfId="1" applyNumberFormat="1" applyFont="1" applyFill="1" applyBorder="1" applyAlignment="1" applyProtection="1">
      <alignment horizontal="center" vertical="center"/>
    </xf>
    <xf numFmtId="166" fontId="13" fillId="2" borderId="1" xfId="1" applyNumberFormat="1" applyFont="1" applyFill="1" applyBorder="1" applyAlignment="1" applyProtection="1">
      <alignment horizontal="center" vertical="center"/>
      <protection locked="0"/>
    </xf>
    <xf numFmtId="166" fontId="13" fillId="2" borderId="2" xfId="1" applyNumberFormat="1" applyFont="1" applyFill="1" applyBorder="1" applyAlignment="1" applyProtection="1">
      <alignment horizontal="center" vertical="center"/>
      <protection locked="0"/>
    </xf>
    <xf numFmtId="166" fontId="13" fillId="5" borderId="4" xfId="1" applyNumberFormat="1" applyFont="1" applyFill="1" applyBorder="1" applyAlignment="1" applyProtection="1">
      <alignment horizontal="center" vertical="center"/>
      <protection locked="0"/>
    </xf>
    <xf numFmtId="168" fontId="14" fillId="4" borderId="4" xfId="1" applyNumberFormat="1" applyFont="1" applyFill="1" applyBorder="1" applyAlignment="1" applyProtection="1">
      <alignment horizontal="center" vertical="center" wrapText="1"/>
      <protection locked="0"/>
    </xf>
    <xf numFmtId="2" fontId="2" fillId="0" borderId="10" xfId="0" applyNumberFormat="1" applyFont="1" applyFill="1" applyBorder="1" applyAlignment="1" applyProtection="1">
      <alignment horizontal="right" vertical="center" wrapText="1"/>
    </xf>
    <xf numFmtId="2" fontId="2" fillId="0" borderId="0" xfId="0" applyNumberFormat="1" applyFont="1" applyFill="1" applyBorder="1" applyAlignment="1" applyProtection="1">
      <alignment horizontal="right" vertical="center" wrapText="1"/>
    </xf>
    <xf numFmtId="2" fontId="2" fillId="0" borderId="9" xfId="0" applyNumberFormat="1" applyFont="1" applyFill="1" applyBorder="1" applyAlignment="1" applyProtection="1">
      <alignment horizontal="right" vertical="center" wrapText="1"/>
    </xf>
    <xf numFmtId="0" fontId="2" fillId="0" borderId="0" xfId="0" applyFont="1" applyFill="1" applyAlignment="1" applyProtection="1">
      <alignment horizontal="right" vertical="center" wrapText="1"/>
    </xf>
    <xf numFmtId="166" fontId="11" fillId="3" borderId="4" xfId="0" applyNumberFormat="1" applyFont="1" applyFill="1" applyBorder="1" applyAlignment="1" applyProtection="1">
      <alignment horizontal="center" vertical="center"/>
    </xf>
    <xf numFmtId="166" fontId="13" fillId="3" borderId="4" xfId="1" applyNumberFormat="1" applyFont="1" applyFill="1" applyBorder="1" applyAlignment="1" applyProtection="1">
      <alignment horizontal="center" vertical="center"/>
    </xf>
    <xf numFmtId="166" fontId="13" fillId="5" borderId="4" xfId="1" quotePrefix="1" applyNumberFormat="1"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wrapText="1"/>
    </xf>
    <xf numFmtId="3" fontId="13" fillId="2" borderId="4" xfId="1" applyNumberFormat="1" applyFont="1" applyFill="1" applyBorder="1" applyAlignment="1" applyProtection="1">
      <alignment horizontal="center" vertical="center" wrapText="1"/>
      <protection locked="0"/>
    </xf>
    <xf numFmtId="3" fontId="13" fillId="3" borderId="4" xfId="1" applyNumberFormat="1" applyFont="1" applyFill="1" applyBorder="1" applyAlignment="1" applyProtection="1">
      <alignment horizontal="center" vertical="center" wrapText="1"/>
    </xf>
    <xf numFmtId="0" fontId="2" fillId="0" borderId="10" xfId="0" applyFont="1" applyFill="1" applyBorder="1" applyAlignment="1" applyProtection="1">
      <alignment horizontal="right" wrapText="1"/>
    </xf>
    <xf numFmtId="0" fontId="2" fillId="0" borderId="0" xfId="0" applyFont="1" applyFill="1" applyBorder="1" applyAlignment="1" applyProtection="1">
      <alignment horizontal="right" wrapText="1"/>
    </xf>
    <xf numFmtId="0" fontId="2" fillId="0" borderId="9" xfId="0" applyFont="1" applyFill="1" applyBorder="1" applyAlignment="1" applyProtection="1">
      <alignment horizontal="right" wrapText="1"/>
    </xf>
    <xf numFmtId="0" fontId="13" fillId="2" borderId="4" xfId="1"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3" fillId="0" borderId="0" xfId="0" applyFont="1" applyFill="1" applyBorder="1" applyAlignment="1" applyProtection="1">
      <alignment horizontal="right" vertical="center"/>
    </xf>
    <xf numFmtId="0" fontId="53" fillId="0" borderId="9" xfId="0" applyFont="1" applyFill="1" applyBorder="1" applyAlignment="1" applyProtection="1">
      <alignment horizontal="right" vertical="center"/>
    </xf>
    <xf numFmtId="0" fontId="2" fillId="0" borderId="1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1" fillId="2" borderId="13"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4" fillId="11" borderId="1" xfId="0" applyFont="1" applyFill="1" applyBorder="1" applyAlignment="1" applyProtection="1">
      <alignment horizontal="center" vertical="center"/>
    </xf>
    <xf numFmtId="0" fontId="4" fillId="11" borderId="3" xfId="0" applyFont="1" applyFill="1" applyBorder="1" applyAlignment="1" applyProtection="1">
      <alignment horizontal="center" vertical="center"/>
    </xf>
    <xf numFmtId="0" fontId="4" fillId="11" borderId="2"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53" fillId="0" borderId="3" xfId="0"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3" fontId="11" fillId="2" borderId="4" xfId="0"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horizontal="right" vertical="center" wrapText="1"/>
    </xf>
    <xf numFmtId="0" fontId="2" fillId="0" borderId="2" xfId="0" applyFont="1" applyFill="1" applyBorder="1" applyAlignment="1" applyProtection="1">
      <alignment horizontal="right" vertical="center" wrapText="1"/>
    </xf>
    <xf numFmtId="0" fontId="13" fillId="2" borderId="20" xfId="0" applyFont="1" applyFill="1" applyBorder="1" applyAlignment="1" applyProtection="1">
      <alignment horizontal="center" vertical="center" wrapText="1"/>
      <protection locked="0"/>
    </xf>
    <xf numFmtId="164" fontId="13" fillId="2" borderId="4" xfId="0" applyNumberFormat="1" applyFont="1" applyFill="1" applyBorder="1" applyAlignment="1" applyProtection="1">
      <alignment horizontal="center" vertical="center" wrapText="1"/>
      <protection locked="0"/>
    </xf>
    <xf numFmtId="164" fontId="13" fillId="2" borderId="3" xfId="0" applyNumberFormat="1" applyFont="1" applyFill="1" applyBorder="1" applyAlignment="1" applyProtection="1">
      <alignment horizontal="center" vertical="center" wrapText="1"/>
      <protection locked="0"/>
    </xf>
    <xf numFmtId="164" fontId="13" fillId="2" borderId="2" xfId="0" applyNumberFormat="1"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164" fontId="13" fillId="2" borderId="1" xfId="0" applyNumberFormat="1" applyFont="1" applyFill="1" applyBorder="1" applyAlignment="1" applyProtection="1">
      <alignment horizontal="center" vertical="center" wrapText="1"/>
      <protection locked="0"/>
    </xf>
    <xf numFmtId="164" fontId="13" fillId="2" borderId="20" xfId="0" applyNumberFormat="1"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13" fillId="3" borderId="26" xfId="0" applyFont="1" applyFill="1" applyBorder="1" applyAlignment="1" applyProtection="1">
      <alignment horizontal="center" vertical="center" wrapText="1"/>
    </xf>
    <xf numFmtId="0" fontId="13" fillId="3" borderId="18" xfId="0" applyFont="1" applyFill="1" applyBorder="1" applyAlignment="1" applyProtection="1">
      <alignment horizontal="center" vertical="center" wrapText="1"/>
    </xf>
    <xf numFmtId="3" fontId="11" fillId="3" borderId="54" xfId="0" applyNumberFormat="1" applyFont="1" applyFill="1" applyBorder="1" applyAlignment="1" applyProtection="1">
      <alignment horizontal="center" vertical="center"/>
    </xf>
    <xf numFmtId="3" fontId="11" fillId="3" borderId="55"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1" fillId="0" borderId="23"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wrapText="1"/>
    </xf>
    <xf numFmtId="0" fontId="13" fillId="3" borderId="30" xfId="1" applyFont="1" applyFill="1" applyBorder="1" applyAlignment="1" applyProtection="1">
      <alignment horizontal="center" vertical="center"/>
    </xf>
    <xf numFmtId="0" fontId="13" fillId="3" borderId="49" xfId="1" applyFont="1" applyFill="1" applyBorder="1" applyAlignment="1" applyProtection="1">
      <alignment horizontal="center" vertical="center"/>
    </xf>
    <xf numFmtId="0" fontId="6" fillId="0" borderId="21" xfId="0"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11" fillId="3" borderId="15"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wrapText="1"/>
    </xf>
    <xf numFmtId="3" fontId="13" fillId="2" borderId="54" xfId="1" applyNumberFormat="1" applyFont="1" applyFill="1" applyBorder="1" applyAlignment="1" applyProtection="1">
      <alignment horizontal="center" vertical="center"/>
      <protection locked="0"/>
    </xf>
    <xf numFmtId="3" fontId="13" fillId="2" borderId="55" xfId="1"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52"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protection locked="0"/>
    </xf>
    <xf numFmtId="0" fontId="37" fillId="4" borderId="1" xfId="0" applyFont="1" applyFill="1" applyBorder="1" applyAlignment="1" applyProtection="1">
      <alignment horizontal="center" vertical="center" wrapText="1"/>
      <protection locked="0"/>
    </xf>
    <xf numFmtId="0" fontId="37" fillId="4" borderId="3" xfId="0" applyFont="1" applyFill="1" applyBorder="1" applyAlignment="1" applyProtection="1">
      <alignment horizontal="center" vertical="center" wrapText="1"/>
      <protection locked="0"/>
    </xf>
    <xf numFmtId="0" fontId="37" fillId="4" borderId="2"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protection locked="0"/>
    </xf>
    <xf numFmtId="0" fontId="11" fillId="2" borderId="30" xfId="0" applyFont="1" applyFill="1" applyBorder="1" applyAlignment="1" applyProtection="1">
      <alignment horizontal="center" vertical="center" wrapText="1"/>
      <protection locked="0"/>
    </xf>
    <xf numFmtId="0" fontId="11" fillId="2" borderId="49" xfId="0" applyFont="1" applyFill="1" applyBorder="1" applyAlignment="1" applyProtection="1">
      <alignment horizontal="center" vertical="center" wrapText="1"/>
      <protection locked="0"/>
    </xf>
    <xf numFmtId="0" fontId="12" fillId="3" borderId="54" xfId="1" applyFont="1" applyFill="1" applyBorder="1" applyAlignment="1" applyProtection="1">
      <alignment horizontal="center" vertical="center"/>
    </xf>
    <xf numFmtId="0" fontId="12" fillId="3" borderId="6" xfId="1" applyFont="1" applyFill="1" applyBorder="1" applyAlignment="1" applyProtection="1">
      <alignment horizontal="center" vertical="center"/>
    </xf>
    <xf numFmtId="2" fontId="13" fillId="3" borderId="30" xfId="1" applyNumberFormat="1" applyFont="1" applyFill="1" applyBorder="1" applyAlignment="1" applyProtection="1">
      <alignment horizontal="center" vertical="center"/>
    </xf>
    <xf numFmtId="2" fontId="13" fillId="3" borderId="4" xfId="1" applyNumberFormat="1" applyFont="1" applyFill="1" applyBorder="1" applyAlignment="1" applyProtection="1">
      <alignment horizontal="center" vertical="center"/>
    </xf>
    <xf numFmtId="0" fontId="2" fillId="11" borderId="4" xfId="0" applyFont="1" applyFill="1" applyBorder="1" applyAlignment="1" applyProtection="1">
      <alignment horizontal="center"/>
    </xf>
    <xf numFmtId="3" fontId="11" fillId="3" borderId="4" xfId="0" applyNumberFormat="1" applyFont="1" applyFill="1" applyBorder="1" applyAlignment="1" applyProtection="1">
      <alignment horizontal="center" wrapText="1"/>
    </xf>
    <xf numFmtId="3" fontId="13" fillId="3" borderId="1" xfId="1" applyNumberFormat="1" applyFont="1" applyFill="1" applyBorder="1" applyAlignment="1" applyProtection="1">
      <alignment horizontal="center" vertical="center" wrapText="1"/>
    </xf>
    <xf numFmtId="3" fontId="13" fillId="3" borderId="2" xfId="1" applyNumberFormat="1" applyFont="1" applyFill="1" applyBorder="1" applyAlignment="1" applyProtection="1">
      <alignment horizontal="center" vertical="center" wrapText="1"/>
    </xf>
    <xf numFmtId="0" fontId="13" fillId="2" borderId="27" xfId="1" applyFont="1" applyFill="1" applyBorder="1" applyAlignment="1" applyProtection="1">
      <alignment horizontal="center" vertical="center"/>
      <protection locked="0"/>
    </xf>
    <xf numFmtId="0" fontId="13" fillId="2" borderId="53" xfId="1" applyFont="1" applyFill="1" applyBorder="1" applyAlignment="1" applyProtection="1">
      <alignment horizontal="center" vertical="center"/>
      <protection locked="0"/>
    </xf>
    <xf numFmtId="0" fontId="13" fillId="3" borderId="31" xfId="0" applyFont="1" applyFill="1" applyBorder="1" applyAlignment="1" applyProtection="1">
      <alignment horizontal="center" vertical="center" wrapText="1"/>
    </xf>
    <xf numFmtId="4" fontId="14" fillId="3" borderId="4" xfId="1" applyNumberFormat="1" applyFont="1" applyFill="1" applyBorder="1" applyAlignment="1" applyProtection="1">
      <alignment horizontal="center" vertical="center"/>
    </xf>
    <xf numFmtId="0" fontId="13" fillId="2" borderId="30" xfId="1" applyFont="1" applyFill="1" applyBorder="1" applyAlignment="1" applyProtection="1">
      <alignment horizontal="center" vertical="center"/>
      <protection locked="0"/>
    </xf>
    <xf numFmtId="0" fontId="13" fillId="2" borderId="49" xfId="1" applyFont="1" applyFill="1" applyBorder="1" applyAlignment="1" applyProtection="1">
      <alignment horizontal="center" vertical="center"/>
      <protection locked="0"/>
    </xf>
    <xf numFmtId="0" fontId="13" fillId="2" borderId="1" xfId="1" applyFont="1" applyFill="1" applyBorder="1" applyAlignment="1" applyProtection="1">
      <alignment horizontal="center" vertical="center"/>
      <protection locked="0"/>
    </xf>
    <xf numFmtId="0" fontId="13" fillId="2" borderId="2" xfId="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3" fontId="11" fillId="3" borderId="1" xfId="0" applyNumberFormat="1" applyFont="1" applyFill="1" applyBorder="1" applyAlignment="1" applyProtection="1">
      <alignment horizontal="center" vertical="center"/>
    </xf>
    <xf numFmtId="3" fontId="11" fillId="3" borderId="2" xfId="0" applyNumberFormat="1" applyFont="1" applyFill="1" applyBorder="1" applyAlignment="1" applyProtection="1">
      <alignment horizontal="center" vertical="center"/>
    </xf>
    <xf numFmtId="0" fontId="2" fillId="0" borderId="0" xfId="0" applyFont="1" applyAlignment="1" applyProtection="1">
      <alignment horizontal="center" vertical="center" textRotation="60"/>
    </xf>
    <xf numFmtId="0" fontId="2" fillId="0" borderId="11" xfId="0" applyFont="1" applyBorder="1" applyAlignment="1" applyProtection="1">
      <alignment horizontal="center" vertical="center" textRotation="60"/>
    </xf>
    <xf numFmtId="0" fontId="25" fillId="0" borderId="0" xfId="0" applyFont="1" applyAlignment="1">
      <alignment horizontal="left" vertical="center"/>
    </xf>
    <xf numFmtId="0" fontId="0" fillId="0" borderId="0" xfId="0" applyAlignment="1">
      <alignment horizontal="left" vertical="center"/>
    </xf>
    <xf numFmtId="0" fontId="25" fillId="0" borderId="0" xfId="3" applyFont="1" applyAlignment="1">
      <alignment horizontal="left" vertical="center"/>
    </xf>
    <xf numFmtId="0" fontId="28" fillId="0" borderId="0" xfId="3" applyAlignment="1">
      <alignment horizontal="left" vertical="center"/>
    </xf>
    <xf numFmtId="0" fontId="3" fillId="0" borderId="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2" xfId="0" applyFont="1" applyBorder="1" applyAlignment="1" applyProtection="1">
      <alignment horizontal="center" vertical="center"/>
    </xf>
    <xf numFmtId="0" fontId="38" fillId="0" borderId="1" xfId="0" applyFont="1" applyBorder="1" applyAlignment="1">
      <alignment horizontal="center" vertical="center"/>
    </xf>
    <xf numFmtId="0" fontId="38" fillId="0" borderId="3" xfId="0" applyFont="1" applyBorder="1" applyAlignment="1">
      <alignment horizontal="center" vertical="center"/>
    </xf>
    <xf numFmtId="0" fontId="38" fillId="0" borderId="2"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43" fillId="0" borderId="0" xfId="0" applyFont="1" applyAlignment="1">
      <alignment horizontal="left"/>
    </xf>
    <xf numFmtId="0" fontId="38" fillId="0" borderId="1" xfId="0" applyFont="1" applyBorder="1" applyAlignment="1">
      <alignment horizontal="left"/>
    </xf>
    <xf numFmtId="0" fontId="38" fillId="0" borderId="3" xfId="0" applyFont="1" applyBorder="1" applyAlignment="1">
      <alignment horizontal="left"/>
    </xf>
    <xf numFmtId="0" fontId="38" fillId="0" borderId="6" xfId="0" applyFont="1" applyBorder="1" applyAlignment="1">
      <alignment horizontal="center" vertical="center" textRotation="255"/>
    </xf>
    <xf numFmtId="0" fontId="38" fillId="0" borderId="16" xfId="0" applyFont="1" applyBorder="1" applyAlignment="1">
      <alignment horizontal="center" vertical="center" textRotation="255"/>
    </xf>
    <xf numFmtId="0" fontId="38" fillId="0" borderId="8" xfId="0" applyFont="1" applyBorder="1" applyAlignment="1">
      <alignment horizontal="center" vertical="center" textRotation="255"/>
    </xf>
  </cellXfs>
  <cellStyles count="8">
    <cellStyle name="Heading" xfId="4"/>
    <cellStyle name="Heading1" xfId="5"/>
    <cellStyle name="Normal" xfId="0" builtinId="0"/>
    <cellStyle name="Normal 2" xfId="2"/>
    <cellStyle name="Normal 3" xfId="3"/>
    <cellStyle name="Normal_445reye" xfId="1"/>
    <cellStyle name="Result" xfId="6"/>
    <cellStyle name="Result2" xfId="7"/>
  </cellStyles>
  <dxfs count="278">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24994659260841701"/>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
      <font>
        <color theme="0" tint="-0.499984740745262"/>
      </font>
    </dxf>
  </dxfs>
  <tableStyles count="0" defaultTableStyle="TableStyleMedium9" defaultPivotStyle="PivotStyleLight16"/>
  <colors>
    <mruColors>
      <color rgb="FF00A87C"/>
      <color rgb="FF0AB2B2"/>
      <color rgb="FF00BC8B"/>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os\Energia%20Disol\Maribella\Bcn\OBRAS\8379%20terrassa\8379%20PROMODAD%20TERRASSA%203&#170;FASE%2013+1%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REV"/>
      <sheetName val="ISTN"/>
      <sheetName val="DIS"/>
      <sheetName val="CALPRE"/>
      <sheetName val="CALPRE-idae"/>
      <sheetName val="eprepre"/>
      <sheetName val="eprepre-idae"/>
      <sheetName val="PREPRE"/>
      <sheetName val="MEDNOR"/>
      <sheetName val="COPRE"/>
      <sheetName val="DATOS"/>
      <sheetName val="FIRES"/>
      <sheetName val="LISTAS"/>
      <sheetName val="ESPCOM"/>
      <sheetName val="MDI"/>
      <sheetName val="MDIPRE"/>
      <sheetName val="HDB"/>
      <sheetName val="EVI1"/>
      <sheetName val="EVI2"/>
      <sheetName val="EVI3"/>
      <sheetName val="GDIS"/>
      <sheetName val="ECO"/>
      <sheetName val="CER"/>
      <sheetName val="bcn1"/>
      <sheetName val="bcn2"/>
      <sheetName val="PRESUM"/>
      <sheetName val="PREINS"/>
      <sheetName val="PORT EV"/>
      <sheetName val="PORT EV+P"/>
      <sheetName val="PORTA-PROSOL"/>
      <sheetName val="MACROS"/>
      <sheetName val="Módulo1"/>
      <sheetName val="E AUX"/>
      <sheetName val="PCAR"/>
      <sheetName val="VEXP"/>
      <sheetName val="RESCUB"/>
      <sheetName val="CALCUB"/>
      <sheetName val="RESDES"/>
      <sheetName val="CALDES"/>
      <sheetName val="CLIMA"/>
      <sheetName val="esquema"/>
    </sheetNames>
    <sheetDataSet>
      <sheetData sheetId="0" refreshError="1"/>
      <sheetData sheetId="1" refreshError="1"/>
      <sheetData sheetId="2" refreshError="1"/>
      <sheetData sheetId="3"/>
      <sheetData sheetId="4"/>
      <sheetData sheetId="5"/>
      <sheetData sheetId="6">
        <row r="111">
          <cell r="G111">
            <v>166.386</v>
          </cell>
        </row>
      </sheetData>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7"/>
  <sheetViews>
    <sheetView tabSelected="1" showRuler="0" showWhiteSpace="0" zoomScale="150" zoomScaleNormal="150" zoomScalePageLayoutView="172" workbookViewId="0">
      <selection activeCell="AM394" sqref="AM394"/>
    </sheetView>
  </sheetViews>
  <sheetFormatPr baseColWidth="10" defaultRowHeight="12.75" customHeight="1" x14ac:dyDescent="0.25"/>
  <cols>
    <col min="1" max="1" width="3.5703125" style="355" customWidth="1"/>
    <col min="2" max="2" width="3.7109375" style="3" customWidth="1"/>
    <col min="3" max="20" width="3.7109375" style="36" customWidth="1"/>
    <col min="21" max="21" width="3.85546875" style="36" customWidth="1"/>
    <col min="22" max="24" width="3.7109375" style="36" customWidth="1"/>
    <col min="25" max="25" width="3.42578125" style="3" customWidth="1"/>
    <col min="26" max="28" width="3.7109375" style="376" hidden="1" customWidth="1"/>
    <col min="29" max="29" width="3.7109375" style="382" hidden="1" customWidth="1"/>
    <col min="30" max="31" width="3.7109375" style="376" hidden="1" customWidth="1"/>
    <col min="32" max="32" width="2" style="376" hidden="1" customWidth="1"/>
    <col min="33" max="36" width="3.7109375" style="376" hidden="1" customWidth="1"/>
    <col min="37" max="37" width="3" style="4" hidden="1" customWidth="1"/>
    <col min="38" max="38" width="11.42578125" style="389" hidden="1" customWidth="1"/>
    <col min="39" max="39" width="13.85546875" style="4" customWidth="1"/>
    <col min="40" max="16384" width="11.42578125" style="4"/>
  </cols>
  <sheetData>
    <row r="1" spans="1:39" ht="12.75" customHeight="1" x14ac:dyDescent="0.25">
      <c r="A1" s="356"/>
      <c r="B1" s="356"/>
      <c r="C1" s="356"/>
      <c r="D1" s="356"/>
      <c r="E1" s="356"/>
      <c r="F1" s="356"/>
      <c r="G1" s="356"/>
      <c r="H1" s="346"/>
      <c r="I1" s="346"/>
      <c r="J1" s="346"/>
      <c r="K1" s="346"/>
      <c r="L1" s="346"/>
      <c r="M1" s="346"/>
      <c r="N1" s="346"/>
      <c r="O1" s="346"/>
      <c r="P1" s="346"/>
      <c r="Q1" s="346"/>
      <c r="R1" s="870" t="s">
        <v>156</v>
      </c>
      <c r="S1" s="871"/>
      <c r="T1" s="883"/>
      <c r="U1" s="884"/>
      <c r="V1" s="884"/>
      <c r="W1" s="884"/>
      <c r="X1" s="885"/>
      <c r="Z1" s="385">
        <f>IF(K21="Anteproyecto",0,IF(M81="Prefabricado",4,0))</f>
        <v>0</v>
      </c>
      <c r="AA1" s="377"/>
      <c r="AB1" s="515" t="s">
        <v>564</v>
      </c>
      <c r="AC1" s="515"/>
      <c r="AD1" s="515"/>
      <c r="AE1" s="515"/>
      <c r="AF1" s="378"/>
      <c r="AG1" s="516" t="s">
        <v>565</v>
      </c>
      <c r="AH1" s="517"/>
      <c r="AI1" s="517"/>
      <c r="AJ1" s="518"/>
    </row>
    <row r="2" spans="1:39" ht="12.75" customHeight="1" x14ac:dyDescent="0.25">
      <c r="T2" s="4"/>
      <c r="U2" s="4"/>
      <c r="V2" s="4"/>
      <c r="W2" s="4"/>
      <c r="X2" s="4"/>
      <c r="Z2" s="386" t="s">
        <v>2</v>
      </c>
      <c r="AA2" s="380" t="s">
        <v>2</v>
      </c>
      <c r="AB2" s="380" t="s">
        <v>2</v>
      </c>
      <c r="AC2" s="379" t="s">
        <v>2</v>
      </c>
      <c r="AD2" s="379" t="s">
        <v>2</v>
      </c>
      <c r="AE2" s="379" t="s">
        <v>2</v>
      </c>
      <c r="AF2" s="379"/>
      <c r="AG2" s="380" t="s">
        <v>2</v>
      </c>
      <c r="AH2" s="380" t="s">
        <v>2</v>
      </c>
      <c r="AI2" s="380" t="s">
        <v>2</v>
      </c>
      <c r="AJ2" s="380" t="s">
        <v>2</v>
      </c>
      <c r="AL2" s="389" t="s">
        <v>713</v>
      </c>
      <c r="AM2" s="389"/>
    </row>
    <row r="3" spans="1:39" s="1" customFormat="1" ht="15.75" customHeight="1" x14ac:dyDescent="0.25">
      <c r="A3" s="886" t="s">
        <v>324</v>
      </c>
      <c r="B3" s="887"/>
      <c r="C3" s="887"/>
      <c r="D3" s="887"/>
      <c r="E3" s="887"/>
      <c r="F3" s="887"/>
      <c r="G3" s="887"/>
      <c r="H3" s="887"/>
      <c r="I3" s="887"/>
      <c r="J3" s="887"/>
      <c r="K3" s="887"/>
      <c r="L3" s="887"/>
      <c r="M3" s="887"/>
      <c r="N3" s="887"/>
      <c r="O3" s="887"/>
      <c r="P3" s="887"/>
      <c r="Q3" s="887"/>
      <c r="R3" s="887"/>
      <c r="S3" s="887"/>
      <c r="T3" s="887"/>
      <c r="U3" s="887"/>
      <c r="V3" s="887"/>
      <c r="W3" s="887"/>
      <c r="X3" s="888"/>
      <c r="Y3" s="371"/>
      <c r="Z3" s="386">
        <f>IF(K21="Anteproyecto",1,IF(K21="P. Básico",2,IF(K21="P. Completo",3,IF(K21="P. Detallado",4,IF(K21="P. Ejecutado",5,0)))))+Z1</f>
        <v>5</v>
      </c>
      <c r="AA3" s="380">
        <v>1</v>
      </c>
      <c r="AB3" s="380">
        <v>2</v>
      </c>
      <c r="AC3" s="379">
        <v>3</v>
      </c>
      <c r="AD3" s="379">
        <v>4</v>
      </c>
      <c r="AE3" s="379">
        <v>5</v>
      </c>
      <c r="AF3" s="379"/>
      <c r="AG3" s="380">
        <v>6</v>
      </c>
      <c r="AH3" s="380">
        <v>7</v>
      </c>
      <c r="AI3" s="380">
        <v>8</v>
      </c>
      <c r="AJ3" s="380">
        <v>9</v>
      </c>
      <c r="AL3" s="366"/>
    </row>
    <row r="4" spans="1:39" s="1" customFormat="1" ht="12.75" customHeight="1" x14ac:dyDescent="0.25">
      <c r="A4" s="369"/>
      <c r="B4" s="371"/>
      <c r="C4" s="28"/>
      <c r="D4" s="28"/>
      <c r="E4" s="28"/>
      <c r="F4" s="28"/>
      <c r="G4" s="28"/>
      <c r="H4" s="28"/>
      <c r="I4" s="28"/>
      <c r="J4" s="28"/>
      <c r="K4" s="28"/>
      <c r="L4" s="28"/>
      <c r="M4" s="28"/>
      <c r="N4" s="28"/>
      <c r="O4" s="28"/>
      <c r="P4" s="28"/>
      <c r="Q4" s="28"/>
      <c r="R4" s="28"/>
      <c r="S4" s="28"/>
      <c r="T4" s="28"/>
      <c r="U4" s="28"/>
      <c r="V4" s="28"/>
      <c r="W4" s="28"/>
      <c r="X4" s="28"/>
      <c r="Y4" s="371"/>
      <c r="Z4" s="386" t="s">
        <v>2</v>
      </c>
      <c r="AA4" s="380" t="s">
        <v>2</v>
      </c>
      <c r="AB4" s="380" t="s">
        <v>2</v>
      </c>
      <c r="AC4" s="380" t="s">
        <v>2</v>
      </c>
      <c r="AD4" s="380" t="s">
        <v>2</v>
      </c>
      <c r="AE4" s="380" t="s">
        <v>2</v>
      </c>
      <c r="AF4" s="380"/>
      <c r="AG4" s="380" t="s">
        <v>2</v>
      </c>
      <c r="AH4" s="380" t="s">
        <v>2</v>
      </c>
      <c r="AI4" s="380" t="s">
        <v>2</v>
      </c>
      <c r="AJ4" s="380" t="s">
        <v>2</v>
      </c>
      <c r="AL4" s="366" t="s">
        <v>822</v>
      </c>
    </row>
    <row r="5" spans="1:39" s="543" customFormat="1" ht="12.75" customHeight="1" x14ac:dyDescent="0.25">
      <c r="A5" s="556"/>
      <c r="B5" s="541" t="s">
        <v>695</v>
      </c>
      <c r="C5" s="637" t="s">
        <v>132</v>
      </c>
      <c r="D5" s="637"/>
      <c r="E5" s="637"/>
      <c r="F5" s="637"/>
      <c r="G5" s="637"/>
      <c r="H5" s="637"/>
      <c r="I5" s="637"/>
      <c r="J5" s="637"/>
      <c r="K5" s="637"/>
      <c r="L5" s="637"/>
      <c r="M5" s="637"/>
      <c r="N5" s="637"/>
      <c r="O5" s="637"/>
      <c r="P5" s="637"/>
      <c r="Q5" s="637"/>
      <c r="R5" s="637"/>
      <c r="S5" s="637"/>
      <c r="T5" s="637"/>
      <c r="U5" s="637"/>
      <c r="V5" s="637"/>
      <c r="W5" s="637"/>
      <c r="X5" s="637"/>
      <c r="Y5" s="545"/>
      <c r="Z5" s="546" t="str">
        <f>IF(Z$3=0,0,IF(Z$3=1,AA5,IF(Z$3=2,AB5,IF(Z$3=3,AC5,IF(Z$3=4,AD5,IF(Z$3=5,AE5,IF(Z$3=6,AG5,IF(Z$3=7,AH5,IF(Z$3=8,AI5,IF(Z$3=9,AJ5,0))))))))))</f>
        <v>PE</v>
      </c>
      <c r="AA5" s="561" t="s">
        <v>569</v>
      </c>
      <c r="AB5" s="561" t="s">
        <v>568</v>
      </c>
      <c r="AC5" s="562" t="s">
        <v>567</v>
      </c>
      <c r="AD5" s="562" t="s">
        <v>566</v>
      </c>
      <c r="AE5" s="562" t="s">
        <v>573</v>
      </c>
      <c r="AF5" s="562"/>
      <c r="AG5" s="561" t="s">
        <v>572</v>
      </c>
      <c r="AH5" s="561" t="s">
        <v>571</v>
      </c>
      <c r="AI5" s="561" t="s">
        <v>570</v>
      </c>
      <c r="AJ5" s="561" t="s">
        <v>574</v>
      </c>
      <c r="AL5" s="550" t="s">
        <v>729</v>
      </c>
    </row>
    <row r="6" spans="1:39" s="46" customFormat="1" ht="12.75" customHeight="1" x14ac:dyDescent="0.25">
      <c r="A6" s="43"/>
      <c r="B6" s="350"/>
      <c r="C6" s="373"/>
      <c r="D6" s="373"/>
      <c r="E6" s="373"/>
      <c r="F6" s="373"/>
      <c r="G6" s="373"/>
      <c r="H6" s="373"/>
      <c r="I6" s="373"/>
      <c r="J6" s="373"/>
      <c r="K6" s="373"/>
      <c r="L6" s="373"/>
      <c r="M6" s="373"/>
      <c r="N6" s="373"/>
      <c r="O6" s="373"/>
      <c r="P6" s="373"/>
      <c r="Q6" s="373"/>
      <c r="R6" s="373"/>
      <c r="S6" s="373"/>
      <c r="T6" s="373"/>
      <c r="U6" s="373"/>
      <c r="V6" s="373"/>
      <c r="W6" s="373"/>
      <c r="X6" s="373"/>
      <c r="Y6" s="45"/>
      <c r="Z6" s="386" t="s">
        <v>2</v>
      </c>
      <c r="AA6" s="380" t="s">
        <v>2</v>
      </c>
      <c r="AB6" s="380" t="s">
        <v>2</v>
      </c>
      <c r="AC6" s="379" t="s">
        <v>2</v>
      </c>
      <c r="AD6" s="379" t="s">
        <v>2</v>
      </c>
      <c r="AE6" s="379" t="s">
        <v>2</v>
      </c>
      <c r="AF6" s="379"/>
      <c r="AG6" s="380" t="s">
        <v>2</v>
      </c>
      <c r="AH6" s="380" t="s">
        <v>2</v>
      </c>
      <c r="AI6" s="380" t="s">
        <v>2</v>
      </c>
      <c r="AJ6" s="380" t="s">
        <v>2</v>
      </c>
      <c r="AL6" s="366" t="s">
        <v>221</v>
      </c>
    </row>
    <row r="7" spans="1:39" s="1" customFormat="1" ht="12.75" customHeight="1" x14ac:dyDescent="0.25">
      <c r="A7" s="369">
        <v>1</v>
      </c>
      <c r="B7" s="401"/>
      <c r="C7" s="864" t="s">
        <v>402</v>
      </c>
      <c r="D7" s="865"/>
      <c r="E7" s="872" t="s">
        <v>326</v>
      </c>
      <c r="F7" s="873"/>
      <c r="G7" s="873"/>
      <c r="H7" s="873"/>
      <c r="I7" s="873"/>
      <c r="J7" s="649"/>
      <c r="K7" s="641"/>
      <c r="L7" s="661"/>
      <c r="M7" s="661"/>
      <c r="N7" s="661"/>
      <c r="O7" s="661"/>
      <c r="P7" s="661"/>
      <c r="Q7" s="661"/>
      <c r="R7" s="661"/>
      <c r="S7" s="661"/>
      <c r="T7" s="642"/>
      <c r="U7" s="582" t="s">
        <v>411</v>
      </c>
      <c r="V7" s="582"/>
      <c r="W7" s="605"/>
      <c r="X7" s="606"/>
      <c r="Y7" s="371"/>
      <c r="Z7" s="386">
        <f t="shared" ref="Z7:Z21" si="0">IF(Z$3=0,0,IF(Z$3=1,AA7,IF(Z$3=2,AB7,IF(Z$3=3,AC7,IF(Z$3=4,AD7,IF(Z$3=5,AE7,IF(Z$3=6,AG7,IF(Z$3=7,AH7,IF(Z$3=8,AI7,IF(Z$3=9,AJ7,0))))))))))</f>
        <v>1</v>
      </c>
      <c r="AA7" s="380">
        <v>1</v>
      </c>
      <c r="AB7" s="380">
        <v>1</v>
      </c>
      <c r="AC7" s="379">
        <v>1</v>
      </c>
      <c r="AD7" s="379">
        <v>1</v>
      </c>
      <c r="AE7" s="379">
        <v>1</v>
      </c>
      <c r="AF7" s="379"/>
      <c r="AG7" s="380">
        <v>1</v>
      </c>
      <c r="AH7" s="380">
        <v>1</v>
      </c>
      <c r="AI7" s="380">
        <v>1</v>
      </c>
      <c r="AJ7" s="380">
        <v>1</v>
      </c>
      <c r="AL7" s="366" t="s">
        <v>238</v>
      </c>
    </row>
    <row r="8" spans="1:39" s="1" customFormat="1" ht="12.75" customHeight="1" x14ac:dyDescent="0.25">
      <c r="A8" s="369">
        <f>A7+1</f>
        <v>2</v>
      </c>
      <c r="B8" s="401"/>
      <c r="C8" s="866"/>
      <c r="D8" s="867"/>
      <c r="E8" s="872" t="s">
        <v>333</v>
      </c>
      <c r="F8" s="873"/>
      <c r="G8" s="873"/>
      <c r="H8" s="873"/>
      <c r="I8" s="873"/>
      <c r="J8" s="649"/>
      <c r="K8" s="641"/>
      <c r="L8" s="661"/>
      <c r="M8" s="661"/>
      <c r="N8" s="661"/>
      <c r="O8" s="661"/>
      <c r="P8" s="661"/>
      <c r="Q8" s="875"/>
      <c r="R8" s="875"/>
      <c r="S8" s="661"/>
      <c r="T8" s="642"/>
      <c r="U8" s="581" t="s">
        <v>719</v>
      </c>
      <c r="V8" s="583"/>
      <c r="W8" s="605"/>
      <c r="X8" s="606"/>
      <c r="Y8" s="371"/>
      <c r="Z8" s="386">
        <f t="shared" si="0"/>
        <v>1</v>
      </c>
      <c r="AA8" s="380">
        <v>1</v>
      </c>
      <c r="AB8" s="380">
        <v>1</v>
      </c>
      <c r="AC8" s="379">
        <v>1</v>
      </c>
      <c r="AD8" s="379">
        <v>1</v>
      </c>
      <c r="AE8" s="379">
        <v>1</v>
      </c>
      <c r="AF8" s="379"/>
      <c r="AG8" s="380">
        <v>1</v>
      </c>
      <c r="AH8" s="380">
        <v>1</v>
      </c>
      <c r="AI8" s="380">
        <v>1</v>
      </c>
      <c r="AJ8" s="380">
        <v>1</v>
      </c>
      <c r="AL8" s="366" t="s">
        <v>730</v>
      </c>
    </row>
    <row r="9" spans="1:39" s="1" customFormat="1" ht="12.75" customHeight="1" x14ac:dyDescent="0.25">
      <c r="A9" s="369">
        <f t="shared" ref="A9:A21" si="1">A8+1</f>
        <v>3</v>
      </c>
      <c r="B9" s="401"/>
      <c r="C9" s="866"/>
      <c r="D9" s="867"/>
      <c r="E9" s="872" t="s">
        <v>329</v>
      </c>
      <c r="F9" s="873"/>
      <c r="G9" s="873"/>
      <c r="H9" s="873"/>
      <c r="I9" s="873"/>
      <c r="J9" s="649"/>
      <c r="K9" s="877"/>
      <c r="L9" s="878"/>
      <c r="M9" s="878"/>
      <c r="N9" s="878"/>
      <c r="O9" s="878"/>
      <c r="P9" s="879"/>
      <c r="Q9" s="634" t="s">
        <v>328</v>
      </c>
      <c r="R9" s="636"/>
      <c r="S9" s="605"/>
      <c r="T9" s="606"/>
      <c r="U9" s="581" t="s">
        <v>412</v>
      </c>
      <c r="V9" s="583"/>
      <c r="W9" s="605"/>
      <c r="X9" s="606"/>
      <c r="Y9" s="371"/>
      <c r="Z9" s="386">
        <f t="shared" si="0"/>
        <v>1</v>
      </c>
      <c r="AA9" s="380">
        <v>1</v>
      </c>
      <c r="AB9" s="380">
        <v>1</v>
      </c>
      <c r="AC9" s="379">
        <v>1</v>
      </c>
      <c r="AD9" s="379">
        <v>1</v>
      </c>
      <c r="AE9" s="379">
        <v>1</v>
      </c>
      <c r="AF9" s="379"/>
      <c r="AG9" s="380">
        <v>1</v>
      </c>
      <c r="AH9" s="380">
        <v>1</v>
      </c>
      <c r="AI9" s="380">
        <v>1</v>
      </c>
      <c r="AJ9" s="380">
        <v>1</v>
      </c>
      <c r="AL9" s="366" t="s">
        <v>731</v>
      </c>
    </row>
    <row r="10" spans="1:39" s="1" customFormat="1" ht="12.75" customHeight="1" x14ac:dyDescent="0.25">
      <c r="A10" s="369">
        <f t="shared" si="1"/>
        <v>4</v>
      </c>
      <c r="B10" s="401"/>
      <c r="C10" s="868"/>
      <c r="D10" s="869"/>
      <c r="E10" s="872" t="s">
        <v>332</v>
      </c>
      <c r="F10" s="873"/>
      <c r="G10" s="873"/>
      <c r="H10" s="873"/>
      <c r="I10" s="873"/>
      <c r="J10" s="649"/>
      <c r="K10" s="880"/>
      <c r="L10" s="881"/>
      <c r="M10" s="881"/>
      <c r="N10" s="881"/>
      <c r="O10" s="881"/>
      <c r="P10" s="882"/>
      <c r="Q10" s="581" t="s">
        <v>446</v>
      </c>
      <c r="R10" s="583"/>
      <c r="S10" s="605"/>
      <c r="T10" s="606"/>
      <c r="U10" s="581" t="s">
        <v>718</v>
      </c>
      <c r="V10" s="583"/>
      <c r="W10" s="605"/>
      <c r="X10" s="606"/>
      <c r="Y10" s="371"/>
      <c r="Z10" s="386">
        <f t="shared" si="0"/>
        <v>1</v>
      </c>
      <c r="AA10" s="380">
        <v>1</v>
      </c>
      <c r="AB10" s="380">
        <v>1</v>
      </c>
      <c r="AC10" s="379">
        <v>1</v>
      </c>
      <c r="AD10" s="379">
        <v>1</v>
      </c>
      <c r="AE10" s="379">
        <v>1</v>
      </c>
      <c r="AF10" s="379"/>
      <c r="AG10" s="380">
        <v>1</v>
      </c>
      <c r="AH10" s="380">
        <v>1</v>
      </c>
      <c r="AI10" s="380">
        <v>1</v>
      </c>
      <c r="AJ10" s="380">
        <v>1</v>
      </c>
      <c r="AL10" s="366" t="s">
        <v>732</v>
      </c>
    </row>
    <row r="11" spans="1:39" s="1" customFormat="1" ht="12.75" customHeight="1" x14ac:dyDescent="0.25">
      <c r="A11" s="369">
        <f t="shared" si="1"/>
        <v>5</v>
      </c>
      <c r="B11" s="401"/>
      <c r="C11" s="864" t="s">
        <v>296</v>
      </c>
      <c r="D11" s="865"/>
      <c r="E11" s="889" t="s">
        <v>450</v>
      </c>
      <c r="F11" s="783"/>
      <c r="G11" s="641"/>
      <c r="H11" s="642"/>
      <c r="I11" s="873" t="s">
        <v>326</v>
      </c>
      <c r="J11" s="649"/>
      <c r="K11" s="641"/>
      <c r="L11" s="661"/>
      <c r="M11" s="661"/>
      <c r="N11" s="661"/>
      <c r="O11" s="661"/>
      <c r="P11" s="661"/>
      <c r="Q11" s="661"/>
      <c r="R11" s="661"/>
      <c r="S11" s="661"/>
      <c r="T11" s="642"/>
      <c r="U11" s="582" t="s">
        <v>411</v>
      </c>
      <c r="V11" s="582"/>
      <c r="W11" s="605"/>
      <c r="X11" s="606"/>
      <c r="Y11" s="371"/>
      <c r="Z11" s="386">
        <f t="shared" si="0"/>
        <v>1</v>
      </c>
      <c r="AA11" s="380">
        <v>1</v>
      </c>
      <c r="AB11" s="380">
        <v>1</v>
      </c>
      <c r="AC11" s="379">
        <v>1</v>
      </c>
      <c r="AD11" s="379">
        <v>1</v>
      </c>
      <c r="AE11" s="379">
        <v>1</v>
      </c>
      <c r="AF11" s="379"/>
      <c r="AG11" s="380">
        <v>1</v>
      </c>
      <c r="AH11" s="380">
        <v>1</v>
      </c>
      <c r="AI11" s="380">
        <v>1</v>
      </c>
      <c r="AJ11" s="380">
        <v>1</v>
      </c>
      <c r="AL11" s="366" t="s">
        <v>733</v>
      </c>
    </row>
    <row r="12" spans="1:39" s="1" customFormat="1" ht="12.75" customHeight="1" x14ac:dyDescent="0.25">
      <c r="A12" s="369">
        <f t="shared" si="1"/>
        <v>6</v>
      </c>
      <c r="B12" s="401"/>
      <c r="C12" s="866"/>
      <c r="D12" s="867"/>
      <c r="E12" s="872" t="s">
        <v>329</v>
      </c>
      <c r="F12" s="873"/>
      <c r="G12" s="873"/>
      <c r="H12" s="873"/>
      <c r="I12" s="873"/>
      <c r="J12" s="649"/>
      <c r="K12" s="641"/>
      <c r="L12" s="661"/>
      <c r="M12" s="661"/>
      <c r="N12" s="661"/>
      <c r="O12" s="661"/>
      <c r="P12" s="642"/>
      <c r="Q12" s="634" t="s">
        <v>328</v>
      </c>
      <c r="R12" s="636"/>
      <c r="S12" s="605"/>
      <c r="T12" s="606"/>
      <c r="U12" s="581" t="s">
        <v>412</v>
      </c>
      <c r="V12" s="583"/>
      <c r="W12" s="605"/>
      <c r="X12" s="606"/>
      <c r="Y12" s="371"/>
      <c r="Z12" s="386">
        <f t="shared" si="0"/>
        <v>1</v>
      </c>
      <c r="AA12" s="380">
        <v>1</v>
      </c>
      <c r="AB12" s="380">
        <v>1</v>
      </c>
      <c r="AC12" s="379">
        <v>1</v>
      </c>
      <c r="AD12" s="379">
        <v>1</v>
      </c>
      <c r="AE12" s="379">
        <v>1</v>
      </c>
      <c r="AF12" s="379"/>
      <c r="AG12" s="380">
        <v>1</v>
      </c>
      <c r="AH12" s="380">
        <v>1</v>
      </c>
      <c r="AI12" s="380">
        <v>1</v>
      </c>
      <c r="AJ12" s="380">
        <v>1</v>
      </c>
      <c r="AL12" s="366" t="s">
        <v>734</v>
      </c>
    </row>
    <row r="13" spans="1:39" s="1" customFormat="1" ht="12.75" customHeight="1" x14ac:dyDescent="0.25">
      <c r="A13" s="369">
        <f t="shared" si="1"/>
        <v>7</v>
      </c>
      <c r="B13" s="401"/>
      <c r="C13" s="868"/>
      <c r="D13" s="869"/>
      <c r="E13" s="872" t="s">
        <v>332</v>
      </c>
      <c r="F13" s="873"/>
      <c r="G13" s="873"/>
      <c r="H13" s="873"/>
      <c r="I13" s="873"/>
      <c r="J13" s="649"/>
      <c r="K13" s="874"/>
      <c r="L13" s="875"/>
      <c r="M13" s="875"/>
      <c r="N13" s="875"/>
      <c r="O13" s="875"/>
      <c r="P13" s="876"/>
      <c r="Q13" s="581" t="s">
        <v>446</v>
      </c>
      <c r="R13" s="583"/>
      <c r="S13" s="627"/>
      <c r="T13" s="628"/>
      <c r="U13" s="581" t="s">
        <v>718</v>
      </c>
      <c r="V13" s="583"/>
      <c r="W13" s="627"/>
      <c r="X13" s="628"/>
      <c r="Y13" s="371"/>
      <c r="Z13" s="386">
        <f t="shared" si="0"/>
        <v>1</v>
      </c>
      <c r="AA13" s="380">
        <v>1</v>
      </c>
      <c r="AB13" s="380">
        <v>1</v>
      </c>
      <c r="AC13" s="379">
        <v>1</v>
      </c>
      <c r="AD13" s="379">
        <v>1</v>
      </c>
      <c r="AE13" s="379">
        <v>1</v>
      </c>
      <c r="AF13" s="379"/>
      <c r="AG13" s="380">
        <v>1</v>
      </c>
      <c r="AH13" s="380">
        <v>1</v>
      </c>
      <c r="AI13" s="380">
        <v>1</v>
      </c>
      <c r="AJ13" s="380">
        <v>1</v>
      </c>
      <c r="AL13" s="366"/>
    </row>
    <row r="14" spans="1:39" s="1" customFormat="1" ht="12.75" customHeight="1" x14ac:dyDescent="0.25">
      <c r="A14" s="369">
        <f t="shared" si="1"/>
        <v>8</v>
      </c>
      <c r="B14" s="401"/>
      <c r="C14" s="864" t="s">
        <v>330</v>
      </c>
      <c r="D14" s="865"/>
      <c r="E14" s="648" t="s">
        <v>331</v>
      </c>
      <c r="F14" s="873"/>
      <c r="G14" s="873"/>
      <c r="H14" s="873"/>
      <c r="I14" s="873"/>
      <c r="J14" s="649"/>
      <c r="K14" s="605"/>
      <c r="L14" s="621"/>
      <c r="M14" s="621"/>
      <c r="N14" s="621"/>
      <c r="O14" s="621"/>
      <c r="P14" s="621"/>
      <c r="Q14" s="621"/>
      <c r="R14" s="621"/>
      <c r="S14" s="621"/>
      <c r="T14" s="606"/>
      <c r="U14" s="8" t="s">
        <v>720</v>
      </c>
      <c r="V14" s="593"/>
      <c r="W14" s="594"/>
      <c r="X14" s="595"/>
      <c r="Y14" s="371"/>
      <c r="Z14" s="386">
        <f t="shared" si="0"/>
        <v>1</v>
      </c>
      <c r="AA14" s="380">
        <v>1</v>
      </c>
      <c r="AB14" s="380">
        <v>1</v>
      </c>
      <c r="AC14" s="379">
        <v>1</v>
      </c>
      <c r="AD14" s="379">
        <v>1</v>
      </c>
      <c r="AE14" s="379">
        <v>1</v>
      </c>
      <c r="AF14" s="379"/>
      <c r="AG14" s="380">
        <v>1</v>
      </c>
      <c r="AH14" s="380">
        <v>1</v>
      </c>
      <c r="AI14" s="380">
        <v>1</v>
      </c>
      <c r="AJ14" s="380">
        <v>1</v>
      </c>
      <c r="AL14" s="366" t="s">
        <v>512</v>
      </c>
    </row>
    <row r="15" spans="1:39" s="1" customFormat="1" ht="12.75" customHeight="1" x14ac:dyDescent="0.25">
      <c r="A15" s="369">
        <f t="shared" si="1"/>
        <v>9</v>
      </c>
      <c r="B15" s="401"/>
      <c r="C15" s="866"/>
      <c r="D15" s="867"/>
      <c r="E15" s="648" t="s">
        <v>327</v>
      </c>
      <c r="F15" s="873"/>
      <c r="G15" s="873"/>
      <c r="H15" s="873"/>
      <c r="I15" s="873"/>
      <c r="J15" s="649"/>
      <c r="K15" s="641"/>
      <c r="L15" s="661"/>
      <c r="M15" s="661"/>
      <c r="N15" s="661"/>
      <c r="O15" s="661"/>
      <c r="P15" s="642"/>
      <c r="Q15" s="777" t="s">
        <v>328</v>
      </c>
      <c r="R15" s="857"/>
      <c r="S15" s="605"/>
      <c r="T15" s="606"/>
      <c r="U15" s="581" t="s">
        <v>412</v>
      </c>
      <c r="V15" s="583"/>
      <c r="W15" s="696"/>
      <c r="X15" s="697"/>
      <c r="Y15" s="371"/>
      <c r="Z15" s="386">
        <f t="shared" si="0"/>
        <v>1</v>
      </c>
      <c r="AA15" s="380">
        <v>1</v>
      </c>
      <c r="AB15" s="380">
        <v>1</v>
      </c>
      <c r="AC15" s="379">
        <v>1</v>
      </c>
      <c r="AD15" s="379">
        <v>1</v>
      </c>
      <c r="AE15" s="379">
        <v>1</v>
      </c>
      <c r="AF15" s="379"/>
      <c r="AG15" s="380">
        <v>1</v>
      </c>
      <c r="AH15" s="380">
        <v>1</v>
      </c>
      <c r="AI15" s="380">
        <v>1</v>
      </c>
      <c r="AJ15" s="380">
        <v>1</v>
      </c>
      <c r="AL15" s="366" t="s">
        <v>513</v>
      </c>
    </row>
    <row r="16" spans="1:39" s="1" customFormat="1" ht="12.75" customHeight="1" x14ac:dyDescent="0.25">
      <c r="A16" s="369">
        <f t="shared" si="1"/>
        <v>10</v>
      </c>
      <c r="B16" s="401"/>
      <c r="C16" s="866"/>
      <c r="D16" s="867"/>
      <c r="E16" s="648" t="s">
        <v>404</v>
      </c>
      <c r="F16" s="648"/>
      <c r="G16" s="648"/>
      <c r="H16" s="648"/>
      <c r="I16" s="648"/>
      <c r="J16" s="648"/>
      <c r="K16" s="641"/>
      <c r="L16" s="661"/>
      <c r="M16" s="661"/>
      <c r="N16" s="642"/>
      <c r="O16" s="891" t="s">
        <v>403</v>
      </c>
      <c r="P16" s="891"/>
      <c r="Q16" s="582"/>
      <c r="R16" s="582"/>
      <c r="S16" s="891"/>
      <c r="T16" s="892"/>
      <c r="U16" s="605"/>
      <c r="V16" s="621"/>
      <c r="W16" s="621"/>
      <c r="X16" s="606"/>
      <c r="Y16" s="371"/>
      <c r="Z16" s="386">
        <f t="shared" si="0"/>
        <v>1</v>
      </c>
      <c r="AA16" s="380">
        <v>1</v>
      </c>
      <c r="AB16" s="380">
        <v>1</v>
      </c>
      <c r="AC16" s="379">
        <v>1</v>
      </c>
      <c r="AD16" s="379">
        <v>1</v>
      </c>
      <c r="AE16" s="379">
        <v>1</v>
      </c>
      <c r="AF16" s="379"/>
      <c r="AG16" s="380">
        <v>1</v>
      </c>
      <c r="AH16" s="380">
        <v>1</v>
      </c>
      <c r="AI16" s="380">
        <v>1</v>
      </c>
      <c r="AJ16" s="380">
        <v>1</v>
      </c>
      <c r="AL16" s="366"/>
    </row>
    <row r="17" spans="1:38" s="1" customFormat="1" ht="12.75" customHeight="1" x14ac:dyDescent="0.25">
      <c r="A17" s="369">
        <f t="shared" si="1"/>
        <v>11</v>
      </c>
      <c r="B17" s="402"/>
      <c r="C17" s="866"/>
      <c r="D17" s="867"/>
      <c r="E17" s="615" t="s">
        <v>334</v>
      </c>
      <c r="F17" s="612"/>
      <c r="G17" s="612"/>
      <c r="H17" s="612"/>
      <c r="I17" s="612"/>
      <c r="J17" s="612"/>
      <c r="K17" s="635" t="s">
        <v>222</v>
      </c>
      <c r="L17" s="635"/>
      <c r="M17" s="635"/>
      <c r="N17" s="636"/>
      <c r="O17" s="610"/>
      <c r="P17" s="610"/>
      <c r="Q17" s="581" t="s">
        <v>67</v>
      </c>
      <c r="R17" s="583"/>
      <c r="S17" s="627"/>
      <c r="T17" s="628"/>
      <c r="U17" s="777"/>
      <c r="V17" s="778"/>
      <c r="W17" s="778"/>
      <c r="X17" s="778"/>
      <c r="Y17" s="371"/>
      <c r="Z17" s="386">
        <f t="shared" si="0"/>
        <v>1</v>
      </c>
      <c r="AA17" s="380">
        <v>1</v>
      </c>
      <c r="AB17" s="380">
        <v>1</v>
      </c>
      <c r="AC17" s="379">
        <v>1</v>
      </c>
      <c r="AD17" s="379">
        <v>1</v>
      </c>
      <c r="AE17" s="379">
        <v>1</v>
      </c>
      <c r="AF17" s="379"/>
      <c r="AG17" s="380">
        <v>1</v>
      </c>
      <c r="AH17" s="380">
        <v>1</v>
      </c>
      <c r="AI17" s="380">
        <v>1</v>
      </c>
      <c r="AJ17" s="380">
        <v>1</v>
      </c>
      <c r="AL17" s="366" t="s">
        <v>740</v>
      </c>
    </row>
    <row r="18" spans="1:38" s="1" customFormat="1" ht="12.75" customHeight="1" x14ac:dyDescent="0.25">
      <c r="A18" s="369">
        <f t="shared" si="1"/>
        <v>12</v>
      </c>
      <c r="B18" s="402"/>
      <c r="C18" s="866"/>
      <c r="D18" s="867"/>
      <c r="E18" s="662" t="s">
        <v>98</v>
      </c>
      <c r="F18" s="578"/>
      <c r="G18" s="578"/>
      <c r="H18" s="578"/>
      <c r="I18" s="578"/>
      <c r="J18" s="579"/>
      <c r="K18" s="611" t="s">
        <v>822</v>
      </c>
      <c r="L18" s="611"/>
      <c r="M18" s="611"/>
      <c r="N18" s="582" t="s">
        <v>469</v>
      </c>
      <c r="O18" s="582"/>
      <c r="P18" s="582"/>
      <c r="Q18" s="580"/>
      <c r="R18" s="580"/>
      <c r="S18" s="580"/>
      <c r="T18" s="580"/>
      <c r="U18" s="580"/>
      <c r="V18" s="580"/>
      <c r="W18" s="580"/>
      <c r="X18" s="580"/>
      <c r="Y18" s="371"/>
      <c r="Z18" s="386">
        <f t="shared" si="0"/>
        <v>1</v>
      </c>
      <c r="AA18" s="380">
        <v>1</v>
      </c>
      <c r="AB18" s="380">
        <v>1</v>
      </c>
      <c r="AC18" s="379">
        <v>1</v>
      </c>
      <c r="AD18" s="379">
        <v>1</v>
      </c>
      <c r="AE18" s="379">
        <v>1</v>
      </c>
      <c r="AF18" s="379"/>
      <c r="AG18" s="380">
        <v>1</v>
      </c>
      <c r="AH18" s="380">
        <v>1</v>
      </c>
      <c r="AI18" s="380">
        <v>1</v>
      </c>
      <c r="AJ18" s="380">
        <v>1</v>
      </c>
      <c r="AL18" s="366" t="s">
        <v>738</v>
      </c>
    </row>
    <row r="19" spans="1:38" s="1" customFormat="1" ht="12.75" customHeight="1" x14ac:dyDescent="0.25">
      <c r="A19" s="369">
        <f t="shared" si="1"/>
        <v>13</v>
      </c>
      <c r="B19" s="402"/>
      <c r="C19" s="866"/>
      <c r="D19" s="867"/>
      <c r="E19" s="662" t="s">
        <v>451</v>
      </c>
      <c r="F19" s="578"/>
      <c r="G19" s="578"/>
      <c r="H19" s="578"/>
      <c r="I19" s="578"/>
      <c r="J19" s="579"/>
      <c r="K19" s="611"/>
      <c r="L19" s="611"/>
      <c r="M19" s="611"/>
      <c r="N19" s="582" t="s">
        <v>469</v>
      </c>
      <c r="O19" s="582"/>
      <c r="P19" s="582"/>
      <c r="Q19" s="580"/>
      <c r="R19" s="580"/>
      <c r="S19" s="580"/>
      <c r="T19" s="580"/>
      <c r="U19" s="580"/>
      <c r="V19" s="580"/>
      <c r="W19" s="580"/>
      <c r="X19" s="580"/>
      <c r="Y19" s="371"/>
      <c r="Z19" s="386">
        <f t="shared" si="0"/>
        <v>1</v>
      </c>
      <c r="AA19" s="380">
        <v>1</v>
      </c>
      <c r="AB19" s="380">
        <v>1</v>
      </c>
      <c r="AC19" s="379">
        <v>1</v>
      </c>
      <c r="AD19" s="379">
        <v>1</v>
      </c>
      <c r="AE19" s="379">
        <v>1</v>
      </c>
      <c r="AF19" s="379"/>
      <c r="AG19" s="380">
        <v>1</v>
      </c>
      <c r="AH19" s="380">
        <v>1</v>
      </c>
      <c r="AI19" s="380">
        <v>1</v>
      </c>
      <c r="AJ19" s="380">
        <v>1</v>
      </c>
      <c r="AL19" s="366" t="s">
        <v>238</v>
      </c>
    </row>
    <row r="20" spans="1:38" s="1" customFormat="1" ht="12.75" customHeight="1" x14ac:dyDescent="0.25">
      <c r="A20" s="369">
        <f t="shared" si="1"/>
        <v>14</v>
      </c>
      <c r="B20" s="402"/>
      <c r="C20" s="866"/>
      <c r="D20" s="867"/>
      <c r="E20" s="662" t="s">
        <v>224</v>
      </c>
      <c r="F20" s="578"/>
      <c r="G20" s="578"/>
      <c r="H20" s="578"/>
      <c r="I20" s="578"/>
      <c r="J20" s="579"/>
      <c r="K20" s="611" t="s">
        <v>822</v>
      </c>
      <c r="L20" s="611"/>
      <c r="M20" s="611"/>
      <c r="N20" s="582" t="s">
        <v>469</v>
      </c>
      <c r="O20" s="582"/>
      <c r="P20" s="582"/>
      <c r="Q20" s="580"/>
      <c r="R20" s="580"/>
      <c r="S20" s="580"/>
      <c r="T20" s="580"/>
      <c r="U20" s="580"/>
      <c r="V20" s="580"/>
      <c r="W20" s="580"/>
      <c r="X20" s="580"/>
      <c r="Y20" s="371"/>
      <c r="Z20" s="386">
        <f t="shared" si="0"/>
        <v>1</v>
      </c>
      <c r="AA20" s="380">
        <v>1</v>
      </c>
      <c r="AB20" s="380">
        <v>1</v>
      </c>
      <c r="AC20" s="379">
        <v>1</v>
      </c>
      <c r="AD20" s="379">
        <v>1</v>
      </c>
      <c r="AE20" s="379">
        <v>1</v>
      </c>
      <c r="AF20" s="379"/>
      <c r="AG20" s="380">
        <v>1</v>
      </c>
      <c r="AH20" s="380">
        <v>1</v>
      </c>
      <c r="AI20" s="380">
        <v>1</v>
      </c>
      <c r="AJ20" s="380">
        <v>1</v>
      </c>
      <c r="AL20" s="366" t="s">
        <v>714</v>
      </c>
    </row>
    <row r="21" spans="1:38" s="1" customFormat="1" ht="12.75" customHeight="1" x14ac:dyDescent="0.25">
      <c r="A21" s="369">
        <f t="shared" si="1"/>
        <v>15</v>
      </c>
      <c r="B21" s="402"/>
      <c r="C21" s="868"/>
      <c r="D21" s="869"/>
      <c r="E21" s="665" t="s">
        <v>449</v>
      </c>
      <c r="F21" s="662"/>
      <c r="G21" s="662"/>
      <c r="H21" s="662"/>
      <c r="I21" s="662"/>
      <c r="J21" s="579"/>
      <c r="K21" s="611" t="s">
        <v>734</v>
      </c>
      <c r="L21" s="611"/>
      <c r="M21" s="611"/>
      <c r="N21" s="582" t="s">
        <v>735</v>
      </c>
      <c r="O21" s="582"/>
      <c r="P21" s="582"/>
      <c r="Q21" s="897" t="s">
        <v>512</v>
      </c>
      <c r="R21" s="898"/>
      <c r="S21" s="899"/>
      <c r="T21" s="21"/>
      <c r="U21" s="21"/>
      <c r="V21" s="21"/>
      <c r="W21" s="21"/>
      <c r="X21" s="21"/>
      <c r="Y21" s="371"/>
      <c r="Z21" s="386">
        <f t="shared" si="0"/>
        <v>1</v>
      </c>
      <c r="AA21" s="380">
        <v>1</v>
      </c>
      <c r="AB21" s="380">
        <v>1</v>
      </c>
      <c r="AC21" s="379">
        <v>1</v>
      </c>
      <c r="AD21" s="379">
        <v>1</v>
      </c>
      <c r="AE21" s="379">
        <v>1</v>
      </c>
      <c r="AF21" s="379"/>
      <c r="AG21" s="380">
        <v>1</v>
      </c>
      <c r="AH21" s="380">
        <v>1</v>
      </c>
      <c r="AI21" s="380">
        <v>1</v>
      </c>
      <c r="AJ21" s="380">
        <v>1</v>
      </c>
      <c r="AL21" s="366" t="s">
        <v>715</v>
      </c>
    </row>
    <row r="22" spans="1:38" s="1" customFormat="1" ht="12.75" customHeight="1" x14ac:dyDescent="0.25">
      <c r="A22" s="369"/>
      <c r="B22" s="374"/>
      <c r="C22" s="907"/>
      <c r="D22" s="907"/>
      <c r="E22" s="907"/>
      <c r="F22" s="907"/>
      <c r="G22" s="907"/>
      <c r="H22" s="907"/>
      <c r="I22" s="907"/>
      <c r="J22" s="907"/>
      <c r="K22" s="907"/>
      <c r="L22" s="907"/>
      <c r="M22" s="907"/>
      <c r="N22" s="907"/>
      <c r="O22" s="907"/>
      <c r="P22" s="907"/>
      <c r="Q22" s="907"/>
      <c r="R22" s="907"/>
      <c r="S22" s="907"/>
      <c r="T22" s="907"/>
      <c r="U22" s="907"/>
      <c r="V22" s="907"/>
      <c r="W22" s="907"/>
      <c r="X22" s="907"/>
      <c r="Y22" s="371"/>
      <c r="Z22" s="386" t="s">
        <v>2</v>
      </c>
      <c r="AA22" s="380" t="s">
        <v>2</v>
      </c>
      <c r="AB22" s="380" t="s">
        <v>2</v>
      </c>
      <c r="AC22" s="379" t="s">
        <v>2</v>
      </c>
      <c r="AD22" s="379" t="s">
        <v>2</v>
      </c>
      <c r="AE22" s="379" t="s">
        <v>2</v>
      </c>
      <c r="AF22" s="379"/>
      <c r="AG22" s="380" t="s">
        <v>2</v>
      </c>
      <c r="AH22" s="380" t="s">
        <v>2</v>
      </c>
      <c r="AI22" s="380" t="s">
        <v>2</v>
      </c>
      <c r="AJ22" s="380" t="s">
        <v>2</v>
      </c>
      <c r="AL22" s="366" t="s">
        <v>238</v>
      </c>
    </row>
    <row r="23" spans="1:38" s="543" customFormat="1" ht="12.75" customHeight="1" x14ac:dyDescent="0.25">
      <c r="A23" s="560"/>
      <c r="B23" s="541" t="s">
        <v>696</v>
      </c>
      <c r="C23" s="637" t="s">
        <v>283</v>
      </c>
      <c r="D23" s="637"/>
      <c r="E23" s="637"/>
      <c r="F23" s="637"/>
      <c r="G23" s="637"/>
      <c r="H23" s="637"/>
      <c r="I23" s="637"/>
      <c r="J23" s="637"/>
      <c r="K23" s="637"/>
      <c r="L23" s="637"/>
      <c r="M23" s="637"/>
      <c r="N23" s="637"/>
      <c r="O23" s="637"/>
      <c r="P23" s="637"/>
      <c r="Q23" s="637"/>
      <c r="R23" s="637"/>
      <c r="S23" s="637"/>
      <c r="T23" s="637"/>
      <c r="U23" s="637"/>
      <c r="V23" s="637"/>
      <c r="W23" s="637"/>
      <c r="X23" s="637"/>
      <c r="Y23" s="545"/>
      <c r="Z23" s="546" t="s">
        <v>2</v>
      </c>
      <c r="AA23" s="547" t="s">
        <v>2</v>
      </c>
      <c r="AB23" s="547" t="s">
        <v>2</v>
      </c>
      <c r="AC23" s="548" t="s">
        <v>2</v>
      </c>
      <c r="AD23" s="548" t="s">
        <v>2</v>
      </c>
      <c r="AE23" s="548" t="s">
        <v>2</v>
      </c>
      <c r="AF23" s="548"/>
      <c r="AG23" s="547" t="s">
        <v>2</v>
      </c>
      <c r="AH23" s="547" t="s">
        <v>2</v>
      </c>
      <c r="AI23" s="547" t="s">
        <v>2</v>
      </c>
      <c r="AJ23" s="547" t="s">
        <v>2</v>
      </c>
      <c r="AL23" s="558"/>
    </row>
    <row r="24" spans="1:38" s="46" customFormat="1" ht="12.75" customHeight="1" thickBot="1" x14ac:dyDescent="0.3">
      <c r="A24" s="367"/>
      <c r="B24" s="347"/>
      <c r="C24" s="364"/>
      <c r="D24" s="364"/>
      <c r="E24" s="364"/>
      <c r="F24" s="364"/>
      <c r="G24" s="364"/>
      <c r="H24" s="364"/>
      <c r="I24" s="364"/>
      <c r="J24" s="364"/>
      <c r="K24" s="364"/>
      <c r="L24" s="364"/>
      <c r="M24" s="364"/>
      <c r="N24" s="364"/>
      <c r="O24" s="364"/>
      <c r="P24" s="364"/>
      <c r="Q24" s="364"/>
      <c r="R24" s="364"/>
      <c r="S24" s="364"/>
      <c r="T24" s="364"/>
      <c r="U24" s="364"/>
      <c r="V24" s="364"/>
      <c r="W24" s="364"/>
      <c r="X24" s="364"/>
      <c r="Y24" s="45"/>
      <c r="Z24" s="386" t="s">
        <v>2</v>
      </c>
      <c r="AA24" s="380" t="s">
        <v>2</v>
      </c>
      <c r="AB24" s="380" t="s">
        <v>2</v>
      </c>
      <c r="AC24" s="379" t="s">
        <v>2</v>
      </c>
      <c r="AD24" s="379" t="s">
        <v>2</v>
      </c>
      <c r="AE24" s="379" t="s">
        <v>2</v>
      </c>
      <c r="AF24" s="379"/>
      <c r="AG24" s="380" t="s">
        <v>2</v>
      </c>
      <c r="AH24" s="380" t="s">
        <v>2</v>
      </c>
      <c r="AI24" s="380" t="s">
        <v>2</v>
      </c>
      <c r="AJ24" s="380" t="s">
        <v>2</v>
      </c>
      <c r="AL24" s="366">
        <v>-45</v>
      </c>
    </row>
    <row r="25" spans="1:38" s="1" customFormat="1" ht="12.75" customHeight="1" x14ac:dyDescent="0.25">
      <c r="A25" s="369">
        <v>1</v>
      </c>
      <c r="B25" s="403"/>
      <c r="C25" s="612" t="s">
        <v>133</v>
      </c>
      <c r="D25" s="612"/>
      <c r="E25" s="612"/>
      <c r="F25" s="596" t="s">
        <v>795</v>
      </c>
      <c r="G25" s="925"/>
      <c r="H25" s="925"/>
      <c r="I25" s="925"/>
      <c r="J25" s="597"/>
      <c r="K25" s="921" t="s">
        <v>454</v>
      </c>
      <c r="L25" s="922"/>
      <c r="M25" s="919" t="s">
        <v>457</v>
      </c>
      <c r="N25" s="920"/>
      <c r="O25" s="920"/>
      <c r="P25" s="920"/>
      <c r="Q25" s="929" t="s">
        <v>317</v>
      </c>
      <c r="R25" s="929"/>
      <c r="S25" s="908" t="s">
        <v>316</v>
      </c>
      <c r="T25" s="908"/>
      <c r="U25" s="908" t="s">
        <v>315</v>
      </c>
      <c r="V25" s="908"/>
      <c r="W25" s="908" t="s">
        <v>314</v>
      </c>
      <c r="X25" s="909"/>
      <c r="Y25" s="371"/>
      <c r="Z25" s="386">
        <f t="shared" ref="Z25:Z33" si="2">IF(Z$3=0,0,IF(Z$3=1,AA25,IF(Z$3=2,AB25,IF(Z$3=3,AC25,IF(Z$3=4,AD25,IF(Z$3=5,AE25,IF(Z$3=6,AG25,IF(Z$3=7,AH25,IF(Z$3=8,AI25,IF(Z$3=9,AJ25,0))))))))))</f>
        <v>1</v>
      </c>
      <c r="AA25" s="380">
        <v>1</v>
      </c>
      <c r="AB25" s="380">
        <v>1</v>
      </c>
      <c r="AC25" s="379">
        <v>1</v>
      </c>
      <c r="AD25" s="379">
        <v>1</v>
      </c>
      <c r="AE25" s="379">
        <v>1</v>
      </c>
      <c r="AF25" s="379"/>
      <c r="AG25" s="380">
        <v>1</v>
      </c>
      <c r="AH25" s="380">
        <v>1</v>
      </c>
      <c r="AI25" s="380">
        <v>1</v>
      </c>
      <c r="AJ25" s="380">
        <v>1</v>
      </c>
      <c r="AL25" s="366">
        <v>-40</v>
      </c>
    </row>
    <row r="26" spans="1:38" s="1" customFormat="1" ht="12.75" customHeight="1" x14ac:dyDescent="0.25">
      <c r="A26" s="369">
        <f>A25+1</f>
        <v>2</v>
      </c>
      <c r="B26" s="403"/>
      <c r="C26" s="612" t="s">
        <v>229</v>
      </c>
      <c r="D26" s="612"/>
      <c r="E26" s="612"/>
      <c r="F26" s="612"/>
      <c r="G26" s="612"/>
      <c r="H26" s="612"/>
      <c r="I26" s="612"/>
      <c r="J26" s="615"/>
      <c r="K26" s="933">
        <f>SUM(Q26:X26)</f>
        <v>0</v>
      </c>
      <c r="L26" s="934"/>
      <c r="M26" s="923" t="s">
        <v>456</v>
      </c>
      <c r="N26" s="924"/>
      <c r="O26" s="924"/>
      <c r="P26" s="924"/>
      <c r="Q26" s="902"/>
      <c r="R26" s="902"/>
      <c r="S26" s="930"/>
      <c r="T26" s="617"/>
      <c r="U26" s="616"/>
      <c r="V26" s="617"/>
      <c r="W26" s="616"/>
      <c r="X26" s="893"/>
      <c r="Y26" s="371"/>
      <c r="Z26" s="386">
        <f t="shared" si="2"/>
        <v>1</v>
      </c>
      <c r="AA26" s="380">
        <v>1</v>
      </c>
      <c r="AB26" s="380">
        <v>1</v>
      </c>
      <c r="AC26" s="379">
        <v>1</v>
      </c>
      <c r="AD26" s="379">
        <v>1</v>
      </c>
      <c r="AE26" s="379">
        <v>1</v>
      </c>
      <c r="AF26" s="379"/>
      <c r="AG26" s="380">
        <v>1</v>
      </c>
      <c r="AH26" s="380">
        <v>1</v>
      </c>
      <c r="AI26" s="380">
        <v>1</v>
      </c>
      <c r="AJ26" s="380">
        <v>1</v>
      </c>
      <c r="AL26" s="366">
        <v>-35</v>
      </c>
    </row>
    <row r="27" spans="1:38" s="1" customFormat="1" ht="12.75" customHeight="1" thickBot="1" x14ac:dyDescent="0.3">
      <c r="A27" s="369">
        <f t="shared" ref="A27:A36" si="3">A26+1</f>
        <v>3</v>
      </c>
      <c r="B27" s="403"/>
      <c r="C27" s="612" t="s">
        <v>230</v>
      </c>
      <c r="D27" s="612"/>
      <c r="E27" s="612"/>
      <c r="F27" s="612"/>
      <c r="G27" s="612"/>
      <c r="H27" s="612"/>
      <c r="I27" s="612"/>
      <c r="J27" s="615"/>
      <c r="K27" s="935">
        <f>IF(K26=0,0,IF(K26&lt;=3,1,IF(K26&lt;=10,0.95,IF(K26&lt;=20,0.9,IF(K26&lt;=50,0.85,IF(K26&lt;=75,0.8,IF(K26&lt;=100,0.75,0.7)))))))</f>
        <v>0</v>
      </c>
      <c r="L27" s="936"/>
      <c r="M27" s="924" t="s">
        <v>458</v>
      </c>
      <c r="N27" s="924"/>
      <c r="O27" s="924"/>
      <c r="P27" s="924"/>
      <c r="Q27" s="894"/>
      <c r="R27" s="894"/>
      <c r="S27" s="895"/>
      <c r="T27" s="896"/>
      <c r="U27" s="900"/>
      <c r="V27" s="896"/>
      <c r="W27" s="900"/>
      <c r="X27" s="901"/>
      <c r="Y27" s="371"/>
      <c r="Z27" s="386">
        <f t="shared" si="2"/>
        <v>1</v>
      </c>
      <c r="AA27" s="380">
        <v>1</v>
      </c>
      <c r="AB27" s="380">
        <v>1</v>
      </c>
      <c r="AC27" s="379">
        <v>1</v>
      </c>
      <c r="AD27" s="379">
        <v>1</v>
      </c>
      <c r="AE27" s="379">
        <v>1</v>
      </c>
      <c r="AF27" s="379"/>
      <c r="AG27" s="380">
        <v>1</v>
      </c>
      <c r="AH27" s="380">
        <v>1</v>
      </c>
      <c r="AI27" s="380">
        <v>1</v>
      </c>
      <c r="AJ27" s="380">
        <v>1</v>
      </c>
      <c r="AL27" s="366">
        <v>-30</v>
      </c>
    </row>
    <row r="28" spans="1:38" s="1" customFormat="1" ht="12.75" customHeight="1" thickBot="1" x14ac:dyDescent="0.3">
      <c r="A28" s="369">
        <f t="shared" si="3"/>
        <v>4</v>
      </c>
      <c r="B28" s="403"/>
      <c r="C28" s="612" t="s">
        <v>319</v>
      </c>
      <c r="D28" s="612"/>
      <c r="E28" s="612"/>
      <c r="F28" s="612"/>
      <c r="G28" s="612"/>
      <c r="H28" s="615"/>
      <c r="I28" s="941"/>
      <c r="J28" s="942"/>
      <c r="K28" s="915">
        <f>SUM(Q28:X28)</f>
        <v>0</v>
      </c>
      <c r="L28" s="916"/>
      <c r="M28" s="914" t="s">
        <v>318</v>
      </c>
      <c r="N28" s="914"/>
      <c r="O28" s="914"/>
      <c r="P28" s="914"/>
      <c r="Q28" s="943">
        <f>Q26*Q27</f>
        <v>0</v>
      </c>
      <c r="R28" s="943"/>
      <c r="S28" s="903">
        <f>S26*S27</f>
        <v>0</v>
      </c>
      <c r="T28" s="904"/>
      <c r="U28" s="842">
        <f>U26*U27</f>
        <v>0</v>
      </c>
      <c r="V28" s="904"/>
      <c r="W28" s="842">
        <f>W26*W27</f>
        <v>0</v>
      </c>
      <c r="X28" s="843"/>
      <c r="Y28" s="371"/>
      <c r="Z28" s="386">
        <f t="shared" si="2"/>
        <v>1</v>
      </c>
      <c r="AA28" s="380">
        <v>1</v>
      </c>
      <c r="AB28" s="380">
        <v>1</v>
      </c>
      <c r="AC28" s="379">
        <v>1</v>
      </c>
      <c r="AD28" s="379">
        <v>1</v>
      </c>
      <c r="AE28" s="379">
        <v>1</v>
      </c>
      <c r="AF28" s="379"/>
      <c r="AG28" s="380">
        <v>1</v>
      </c>
      <c r="AH28" s="380">
        <v>1</v>
      </c>
      <c r="AI28" s="380">
        <v>1</v>
      </c>
      <c r="AJ28" s="380">
        <v>1</v>
      </c>
      <c r="AL28" s="366">
        <v>-25</v>
      </c>
    </row>
    <row r="29" spans="1:38" s="1" customFormat="1" ht="12.75" customHeight="1" x14ac:dyDescent="0.25">
      <c r="A29" s="369">
        <f t="shared" si="3"/>
        <v>5</v>
      </c>
      <c r="B29" s="403"/>
      <c r="C29" s="612" t="s">
        <v>455</v>
      </c>
      <c r="D29" s="612"/>
      <c r="E29" s="612"/>
      <c r="F29" s="612"/>
      <c r="G29" s="612"/>
      <c r="H29" s="615"/>
      <c r="I29" s="917"/>
      <c r="J29" s="918"/>
      <c r="K29" s="931"/>
      <c r="L29" s="932"/>
      <c r="M29" s="912" t="s">
        <v>1687</v>
      </c>
      <c r="N29" s="912"/>
      <c r="O29" s="912"/>
      <c r="P29" s="912"/>
      <c r="Q29" s="912"/>
      <c r="R29" s="912"/>
      <c r="S29" s="912"/>
      <c r="T29" s="913"/>
      <c r="U29" s="360" t="s">
        <v>714</v>
      </c>
      <c r="V29" s="2"/>
      <c r="W29" s="2"/>
      <c r="X29" s="2"/>
      <c r="Y29" s="371"/>
      <c r="Z29" s="386">
        <f t="shared" si="2"/>
        <v>1</v>
      </c>
      <c r="AA29" s="380">
        <v>1</v>
      </c>
      <c r="AB29" s="380">
        <v>1</v>
      </c>
      <c r="AC29" s="379">
        <v>1</v>
      </c>
      <c r="AD29" s="379">
        <v>1</v>
      </c>
      <c r="AE29" s="379">
        <v>1</v>
      </c>
      <c r="AF29" s="379"/>
      <c r="AG29" s="380">
        <v>1</v>
      </c>
      <c r="AH29" s="380">
        <v>1</v>
      </c>
      <c r="AI29" s="380">
        <v>1</v>
      </c>
      <c r="AJ29" s="380">
        <v>1</v>
      </c>
      <c r="AL29" s="366">
        <v>-20</v>
      </c>
    </row>
    <row r="30" spans="1:38" s="1" customFormat="1" ht="12.75" customHeight="1" x14ac:dyDescent="0.25">
      <c r="A30" s="369">
        <f t="shared" si="3"/>
        <v>6</v>
      </c>
      <c r="B30" s="403"/>
      <c r="C30" s="612" t="s">
        <v>485</v>
      </c>
      <c r="D30" s="612"/>
      <c r="E30" s="612"/>
      <c r="F30" s="853" t="s">
        <v>486</v>
      </c>
      <c r="G30" s="853"/>
      <c r="H30" s="853"/>
      <c r="I30" s="945"/>
      <c r="J30" s="946"/>
      <c r="K30" s="910">
        <f>I30</f>
        <v>0</v>
      </c>
      <c r="L30" s="911"/>
      <c r="M30" s="2" t="s">
        <v>487</v>
      </c>
      <c r="N30" s="616"/>
      <c r="O30" s="617"/>
      <c r="P30" s="603" t="s">
        <v>488</v>
      </c>
      <c r="Q30" s="614"/>
      <c r="R30" s="604"/>
      <c r="S30" s="605"/>
      <c r="T30" s="606"/>
      <c r="U30" s="603" t="s">
        <v>489</v>
      </c>
      <c r="V30" s="604"/>
      <c r="W30" s="947"/>
      <c r="X30" s="948"/>
      <c r="Y30" s="371"/>
      <c r="Z30" s="386">
        <f t="shared" si="2"/>
        <v>1</v>
      </c>
      <c r="AA30" s="380">
        <v>1</v>
      </c>
      <c r="AB30" s="380">
        <v>1</v>
      </c>
      <c r="AC30" s="379">
        <v>1</v>
      </c>
      <c r="AD30" s="379">
        <v>1</v>
      </c>
      <c r="AE30" s="379">
        <v>1</v>
      </c>
      <c r="AF30" s="379"/>
      <c r="AG30" s="380">
        <v>1</v>
      </c>
      <c r="AH30" s="380">
        <v>1</v>
      </c>
      <c r="AI30" s="380">
        <v>1</v>
      </c>
      <c r="AJ30" s="380">
        <v>1</v>
      </c>
      <c r="AL30" s="366">
        <v>-15</v>
      </c>
    </row>
    <row r="31" spans="1:38" s="1" customFormat="1" ht="12.75" customHeight="1" thickBot="1" x14ac:dyDescent="0.3">
      <c r="A31" s="369">
        <f t="shared" si="3"/>
        <v>7</v>
      </c>
      <c r="B31" s="403"/>
      <c r="C31" s="612" t="s">
        <v>482</v>
      </c>
      <c r="D31" s="612"/>
      <c r="E31" s="612"/>
      <c r="F31" s="612"/>
      <c r="I31" s="905">
        <f>I28*I29</f>
        <v>0</v>
      </c>
      <c r="J31" s="906"/>
      <c r="K31" s="840">
        <f>K27*K28*K29</f>
        <v>0</v>
      </c>
      <c r="L31" s="841"/>
      <c r="M31" s="1" t="s">
        <v>814</v>
      </c>
      <c r="N31" s="601">
        <f>I31+K31</f>
        <v>0</v>
      </c>
      <c r="O31" s="602"/>
      <c r="P31" s="599" t="s">
        <v>736</v>
      </c>
      <c r="Q31" s="599"/>
      <c r="R31" s="600"/>
      <c r="S31" s="596" t="s">
        <v>812</v>
      </c>
      <c r="T31" s="597"/>
      <c r="U31" s="598" t="s">
        <v>737</v>
      </c>
      <c r="V31" s="599"/>
      <c r="W31" s="600"/>
      <c r="X31" s="360" t="s">
        <v>715</v>
      </c>
      <c r="Y31" s="371"/>
      <c r="Z31" s="386">
        <f t="shared" si="2"/>
        <v>1</v>
      </c>
      <c r="AA31" s="380">
        <v>1</v>
      </c>
      <c r="AB31" s="380">
        <v>1</v>
      </c>
      <c r="AC31" s="379">
        <v>1</v>
      </c>
      <c r="AD31" s="379">
        <v>1</v>
      </c>
      <c r="AE31" s="379">
        <v>1</v>
      </c>
      <c r="AF31" s="379"/>
      <c r="AG31" s="380">
        <v>1</v>
      </c>
      <c r="AH31" s="380">
        <v>1</v>
      </c>
      <c r="AI31" s="380">
        <v>1</v>
      </c>
      <c r="AJ31" s="380">
        <v>1</v>
      </c>
      <c r="AL31" s="366">
        <v>-10</v>
      </c>
    </row>
    <row r="32" spans="1:38" s="1" customFormat="1" ht="12.75" customHeight="1" x14ac:dyDescent="0.25">
      <c r="A32" s="369">
        <f t="shared" si="3"/>
        <v>8</v>
      </c>
      <c r="B32" s="403"/>
      <c r="C32" s="612" t="s">
        <v>810</v>
      </c>
      <c r="D32" s="612"/>
      <c r="E32" s="612"/>
      <c r="F32" s="612"/>
      <c r="G32" s="613"/>
      <c r="H32" s="926" t="s">
        <v>578</v>
      </c>
      <c r="I32" s="927"/>
      <c r="J32" s="928"/>
      <c r="K32" s="618" t="s">
        <v>532</v>
      </c>
      <c r="L32" s="619"/>
      <c r="M32" s="605" t="s">
        <v>738</v>
      </c>
      <c r="N32" s="606"/>
      <c r="O32" s="860" t="s">
        <v>483</v>
      </c>
      <c r="P32" s="861"/>
      <c r="Q32" s="862"/>
      <c r="R32" s="605" t="s">
        <v>738</v>
      </c>
      <c r="S32" s="606"/>
      <c r="T32" s="860" t="s">
        <v>484</v>
      </c>
      <c r="U32" s="861"/>
      <c r="V32" s="862"/>
      <c r="W32" s="605" t="s">
        <v>738</v>
      </c>
      <c r="X32" s="606"/>
      <c r="Y32" s="371"/>
      <c r="Z32" s="386">
        <f t="shared" si="2"/>
        <v>1</v>
      </c>
      <c r="AA32" s="380">
        <v>1</v>
      </c>
      <c r="AB32" s="380">
        <v>1</v>
      </c>
      <c r="AC32" s="379">
        <v>1</v>
      </c>
      <c r="AD32" s="379">
        <v>1</v>
      </c>
      <c r="AE32" s="379">
        <v>1</v>
      </c>
      <c r="AF32" s="379"/>
      <c r="AG32" s="380">
        <v>1</v>
      </c>
      <c r="AH32" s="380">
        <v>1</v>
      </c>
      <c r="AI32" s="380">
        <v>1</v>
      </c>
      <c r="AJ32" s="380">
        <v>1</v>
      </c>
      <c r="AL32" s="366">
        <v>-5</v>
      </c>
    </row>
    <row r="33" spans="1:38" s="1" customFormat="1" ht="12.75" customHeight="1" x14ac:dyDescent="0.25">
      <c r="A33" s="369">
        <f t="shared" si="3"/>
        <v>9</v>
      </c>
      <c r="B33" s="403"/>
      <c r="C33" s="615" t="s">
        <v>452</v>
      </c>
      <c r="D33" s="615"/>
      <c r="E33" s="615"/>
      <c r="F33" s="615"/>
      <c r="G33" s="615"/>
      <c r="H33" s="615"/>
      <c r="I33" s="582" t="s">
        <v>405</v>
      </c>
      <c r="J33" s="582"/>
      <c r="K33" s="583"/>
      <c r="L33" s="849" t="s">
        <v>717</v>
      </c>
      <c r="M33" s="849"/>
      <c r="N33" s="850" t="s">
        <v>406</v>
      </c>
      <c r="O33" s="851"/>
      <c r="P33" s="852"/>
      <c r="Q33" s="849">
        <v>0</v>
      </c>
      <c r="R33" s="849"/>
      <c r="S33" s="850" t="s">
        <v>313</v>
      </c>
      <c r="T33" s="851"/>
      <c r="U33" s="851"/>
      <c r="V33" s="852"/>
      <c r="W33" s="890"/>
      <c r="X33" s="890"/>
      <c r="Y33" s="371"/>
      <c r="Z33" s="386">
        <f t="shared" si="2"/>
        <v>1</v>
      </c>
      <c r="AA33" s="380">
        <v>1</v>
      </c>
      <c r="AB33" s="380">
        <v>1</v>
      </c>
      <c r="AC33" s="379">
        <v>1</v>
      </c>
      <c r="AD33" s="379">
        <v>1</v>
      </c>
      <c r="AE33" s="379">
        <v>1</v>
      </c>
      <c r="AF33" s="379"/>
      <c r="AG33" s="380">
        <v>1</v>
      </c>
      <c r="AH33" s="380">
        <v>1</v>
      </c>
      <c r="AI33" s="380">
        <v>1</v>
      </c>
      <c r="AJ33" s="380">
        <v>1</v>
      </c>
      <c r="AL33" s="366" t="s">
        <v>717</v>
      </c>
    </row>
    <row r="34" spans="1:38" s="1" customFormat="1" ht="12.75" customHeight="1" x14ac:dyDescent="0.25">
      <c r="A34" s="369">
        <f t="shared" si="3"/>
        <v>10</v>
      </c>
      <c r="B34" s="403"/>
      <c r="C34" s="615" t="s">
        <v>453</v>
      </c>
      <c r="D34" s="615"/>
      <c r="E34" s="615"/>
      <c r="F34" s="615"/>
      <c r="G34" s="615"/>
      <c r="H34" s="615"/>
      <c r="I34" s="582" t="s">
        <v>321</v>
      </c>
      <c r="J34" s="582"/>
      <c r="K34" s="583"/>
      <c r="L34" s="858">
        <v>0</v>
      </c>
      <c r="M34" s="858"/>
      <c r="N34" s="850" t="s">
        <v>322</v>
      </c>
      <c r="O34" s="851"/>
      <c r="P34" s="852"/>
      <c r="Q34" s="863"/>
      <c r="R34" s="863"/>
      <c r="S34" s="850" t="s">
        <v>323</v>
      </c>
      <c r="T34" s="851"/>
      <c r="U34" s="851"/>
      <c r="V34" s="852"/>
      <c r="W34" s="863"/>
      <c r="X34" s="863"/>
      <c r="Y34" s="371"/>
      <c r="Z34" s="386">
        <f>IF(Q$21="Sólo ACS",0,IF(Z$3=0,0,IF(Z$3=1,AA34,IF(Z$3=2,AB34,IF(Z$3=3,AC34,IF(Z$3=4,AD34,IF(Z$3=5,AE34,IF(Z$3=6,AG34,IF(Z$3=7,AH34,IF(Z$3=8,AI34,IF(Z$3=9,AJ34,0)))))))))))</f>
        <v>0</v>
      </c>
      <c r="AA34" s="380">
        <v>1</v>
      </c>
      <c r="AB34" s="380">
        <v>1</v>
      </c>
      <c r="AC34" s="379">
        <v>1</v>
      </c>
      <c r="AD34" s="379">
        <v>1</v>
      </c>
      <c r="AE34" s="379">
        <v>1</v>
      </c>
      <c r="AF34" s="379"/>
      <c r="AG34" s="380">
        <v>1</v>
      </c>
      <c r="AH34" s="380">
        <v>1</v>
      </c>
      <c r="AI34" s="380">
        <v>1</v>
      </c>
      <c r="AJ34" s="380">
        <v>1</v>
      </c>
      <c r="AL34" s="366">
        <v>5</v>
      </c>
    </row>
    <row r="35" spans="1:38" s="1" customFormat="1" ht="12.75" customHeight="1" x14ac:dyDescent="0.25">
      <c r="A35" s="369">
        <f t="shared" si="3"/>
        <v>11</v>
      </c>
      <c r="B35" s="403"/>
      <c r="C35" s="582" t="s">
        <v>533</v>
      </c>
      <c r="D35" s="582"/>
      <c r="E35" s="582"/>
      <c r="F35" s="583"/>
      <c r="G35" s="939">
        <f>L34*Q34</f>
        <v>0</v>
      </c>
      <c r="H35" s="940"/>
      <c r="I35" s="850" t="s">
        <v>534</v>
      </c>
      <c r="J35" s="851"/>
      <c r="K35" s="852"/>
      <c r="L35" s="859">
        <f>G35*W34</f>
        <v>0</v>
      </c>
      <c r="M35" s="859"/>
      <c r="N35" s="860" t="s">
        <v>515</v>
      </c>
      <c r="O35" s="861"/>
      <c r="P35" s="861"/>
      <c r="Q35" s="861"/>
      <c r="R35" s="861"/>
      <c r="S35" s="861"/>
      <c r="T35" s="861"/>
      <c r="U35" s="861"/>
      <c r="V35" s="862"/>
      <c r="W35" s="810">
        <f>COMPLEMENTOS!C19</f>
        <v>0</v>
      </c>
      <c r="X35" s="810"/>
      <c r="Y35" s="371"/>
      <c r="Z35" s="386">
        <f>IF(Q$21="Sólo ACS",0,IF(Z$3=0,0,IF(Z$3=1,AA35,IF(Z$3=2,AB35,IF(Z$3=3,AC35,IF(Z$3=4,AD35,IF(Z$3=5,AE35,IF(Z$3=6,AG35,IF(Z$3=7,AH35,IF(Z$3=8,AI35,IF(Z$3=9,AJ35,0)))))))))))</f>
        <v>0</v>
      </c>
      <c r="AA35" s="380">
        <v>1</v>
      </c>
      <c r="AB35" s="380">
        <v>1</v>
      </c>
      <c r="AC35" s="379">
        <v>1</v>
      </c>
      <c r="AD35" s="379">
        <v>1</v>
      </c>
      <c r="AE35" s="379">
        <v>1</v>
      </c>
      <c r="AF35" s="379"/>
      <c r="AG35" s="380">
        <v>1</v>
      </c>
      <c r="AH35" s="380">
        <v>1</v>
      </c>
      <c r="AI35" s="380">
        <v>1</v>
      </c>
      <c r="AJ35" s="380">
        <v>1</v>
      </c>
      <c r="AL35" s="366">
        <v>10</v>
      </c>
    </row>
    <row r="36" spans="1:38" ht="12.75" customHeight="1" x14ac:dyDescent="0.25">
      <c r="A36" s="369">
        <f t="shared" si="3"/>
        <v>12</v>
      </c>
      <c r="B36" s="404"/>
      <c r="C36" s="861" t="s">
        <v>535</v>
      </c>
      <c r="D36" s="861"/>
      <c r="E36" s="861"/>
      <c r="F36" s="861"/>
      <c r="G36" s="861"/>
      <c r="H36" s="861"/>
      <c r="I36" s="861"/>
      <c r="J36" s="861"/>
      <c r="K36" s="862"/>
      <c r="L36" s="859">
        <f>L35*0.01*1000</f>
        <v>0</v>
      </c>
      <c r="M36" s="859"/>
      <c r="N36" s="860" t="s">
        <v>514</v>
      </c>
      <c r="O36" s="861"/>
      <c r="P36" s="861"/>
      <c r="Q36" s="861"/>
      <c r="R36" s="861"/>
      <c r="S36" s="861"/>
      <c r="T36" s="861"/>
      <c r="U36" s="861"/>
      <c r="V36" s="862"/>
      <c r="W36" s="938">
        <f>COMPLEMENTOS!D19</f>
        <v>0</v>
      </c>
      <c r="X36" s="938"/>
      <c r="Z36" s="386">
        <f>IF(Q$21="Sólo ACS",0,IF(Z$3=0,0,IF(Z$3=1,AA36,IF(Z$3=2,AB36,IF(Z$3=3,AC36,IF(Z$3=4,AD36,IF(Z$3=5,AE36,IF(Z$3=6,AG36,IF(Z$3=7,AH36,IF(Z$3=8,AI36,IF(Z$3=9,AJ36,0)))))))))))</f>
        <v>0</v>
      </c>
      <c r="AA36" s="380">
        <v>1</v>
      </c>
      <c r="AB36" s="380">
        <v>1</v>
      </c>
      <c r="AC36" s="379">
        <v>1</v>
      </c>
      <c r="AD36" s="379">
        <v>1</v>
      </c>
      <c r="AE36" s="379">
        <v>1</v>
      </c>
      <c r="AF36" s="379"/>
      <c r="AG36" s="380">
        <v>1</v>
      </c>
      <c r="AH36" s="380">
        <v>1</v>
      </c>
      <c r="AI36" s="380">
        <v>1</v>
      </c>
      <c r="AJ36" s="380">
        <v>1</v>
      </c>
      <c r="AL36" s="366">
        <v>15</v>
      </c>
    </row>
    <row r="37" spans="1:38" s="1" customFormat="1" ht="12.75" customHeight="1" x14ac:dyDescent="0.25">
      <c r="A37" s="369"/>
      <c r="B37" s="369"/>
      <c r="C37" s="15"/>
      <c r="D37" s="15"/>
      <c r="E37" s="15"/>
      <c r="F37" s="15"/>
      <c r="G37" s="15"/>
      <c r="H37" s="15"/>
      <c r="I37" s="15"/>
      <c r="J37" s="15"/>
      <c r="K37" s="15"/>
      <c r="L37" s="15"/>
      <c r="M37" s="15"/>
      <c r="N37" s="15"/>
      <c r="O37" s="15"/>
      <c r="P37" s="15"/>
      <c r="Q37" s="15"/>
      <c r="R37" s="15"/>
      <c r="S37" s="15"/>
      <c r="T37" s="15"/>
      <c r="U37" s="15"/>
      <c r="V37" s="15"/>
      <c r="W37" s="15"/>
      <c r="X37" s="15"/>
      <c r="Y37" s="371"/>
      <c r="Z37" s="386" t="s">
        <v>2</v>
      </c>
      <c r="AA37" s="380" t="s">
        <v>2</v>
      </c>
      <c r="AB37" s="380" t="s">
        <v>2</v>
      </c>
      <c r="AC37" s="379" t="s">
        <v>2</v>
      </c>
      <c r="AD37" s="379" t="s">
        <v>2</v>
      </c>
      <c r="AE37" s="379" t="s">
        <v>2</v>
      </c>
      <c r="AF37" s="379"/>
      <c r="AG37" s="380" t="s">
        <v>2</v>
      </c>
      <c r="AH37" s="380" t="s">
        <v>2</v>
      </c>
      <c r="AI37" s="380" t="s">
        <v>2</v>
      </c>
      <c r="AJ37" s="380" t="s">
        <v>2</v>
      </c>
      <c r="AL37" s="366">
        <v>20</v>
      </c>
    </row>
    <row r="38" spans="1:38" s="543" customFormat="1" ht="12.75" customHeight="1" x14ac:dyDescent="0.25">
      <c r="A38" s="560"/>
      <c r="B38" s="541" t="s">
        <v>697</v>
      </c>
      <c r="C38" s="637" t="s">
        <v>236</v>
      </c>
      <c r="D38" s="637"/>
      <c r="E38" s="637"/>
      <c r="F38" s="637"/>
      <c r="G38" s="637"/>
      <c r="H38" s="637"/>
      <c r="I38" s="637"/>
      <c r="J38" s="637"/>
      <c r="K38" s="637"/>
      <c r="L38" s="637"/>
      <c r="M38" s="637"/>
      <c r="N38" s="637"/>
      <c r="O38" s="637"/>
      <c r="P38" s="637"/>
      <c r="Q38" s="637"/>
      <c r="R38" s="637"/>
      <c r="S38" s="637"/>
      <c r="T38" s="637"/>
      <c r="U38" s="637"/>
      <c r="V38" s="637"/>
      <c r="W38" s="637"/>
      <c r="X38" s="637"/>
      <c r="Y38" s="545"/>
      <c r="Z38" s="546" t="s">
        <v>2</v>
      </c>
      <c r="AA38" s="547" t="s">
        <v>2</v>
      </c>
      <c r="AB38" s="547" t="s">
        <v>2</v>
      </c>
      <c r="AC38" s="548" t="s">
        <v>2</v>
      </c>
      <c r="AD38" s="548" t="s">
        <v>2</v>
      </c>
      <c r="AE38" s="548" t="s">
        <v>2</v>
      </c>
      <c r="AF38" s="548"/>
      <c r="AG38" s="547" t="s">
        <v>2</v>
      </c>
      <c r="AH38" s="547" t="s">
        <v>2</v>
      </c>
      <c r="AI38" s="547" t="s">
        <v>2</v>
      </c>
      <c r="AJ38" s="547" t="s">
        <v>2</v>
      </c>
      <c r="AL38" s="550">
        <v>25</v>
      </c>
    </row>
    <row r="39" spans="1:38" s="46" customFormat="1" ht="12.75" customHeight="1" x14ac:dyDescent="0.25">
      <c r="A39" s="367"/>
      <c r="B39" s="347"/>
      <c r="C39" s="364"/>
      <c r="D39" s="364"/>
      <c r="E39" s="364"/>
      <c r="F39" s="364"/>
      <c r="G39" s="364"/>
      <c r="H39" s="364"/>
      <c r="I39" s="364"/>
      <c r="J39" s="364"/>
      <c r="K39" s="364"/>
      <c r="L39" s="364"/>
      <c r="M39" s="364"/>
      <c r="N39" s="364"/>
      <c r="O39" s="364"/>
      <c r="P39" s="364"/>
      <c r="Q39" s="364"/>
      <c r="R39" s="364"/>
      <c r="S39" s="364"/>
      <c r="T39" s="364"/>
      <c r="U39" s="364"/>
      <c r="V39" s="364"/>
      <c r="W39" s="364"/>
      <c r="X39" s="364"/>
      <c r="Y39" s="45"/>
      <c r="Z39" s="386" t="s">
        <v>2</v>
      </c>
      <c r="AA39" s="380" t="s">
        <v>2</v>
      </c>
      <c r="AB39" s="380" t="s">
        <v>2</v>
      </c>
      <c r="AC39" s="379" t="s">
        <v>2</v>
      </c>
      <c r="AD39" s="379" t="s">
        <v>2</v>
      </c>
      <c r="AE39" s="379" t="s">
        <v>2</v>
      </c>
      <c r="AF39" s="379"/>
      <c r="AG39" s="380" t="s">
        <v>2</v>
      </c>
      <c r="AH39" s="380" t="s">
        <v>2</v>
      </c>
      <c r="AI39" s="380" t="s">
        <v>2</v>
      </c>
      <c r="AJ39" s="380" t="s">
        <v>2</v>
      </c>
      <c r="AL39" s="366">
        <v>30</v>
      </c>
    </row>
    <row r="40" spans="1:38" s="1" customFormat="1" ht="12.75" customHeight="1" x14ac:dyDescent="0.25">
      <c r="A40" s="369"/>
      <c r="B40" s="369"/>
      <c r="C40" s="679"/>
      <c r="D40" s="679"/>
      <c r="E40" s="679"/>
      <c r="F40" s="679"/>
      <c r="G40" s="679"/>
      <c r="H40" s="679"/>
      <c r="I40" s="813" t="s">
        <v>48</v>
      </c>
      <c r="J40" s="813"/>
      <c r="K40" s="813"/>
      <c r="L40" s="813"/>
      <c r="M40" s="813" t="s">
        <v>47</v>
      </c>
      <c r="N40" s="813"/>
      <c r="O40" s="813"/>
      <c r="P40" s="813" t="s">
        <v>35</v>
      </c>
      <c r="Q40" s="813"/>
      <c r="R40" s="813"/>
      <c r="S40" s="813" t="s">
        <v>18</v>
      </c>
      <c r="T40" s="813"/>
      <c r="U40" s="813" t="s">
        <v>60</v>
      </c>
      <c r="V40" s="813"/>
      <c r="W40" s="813" t="s">
        <v>19</v>
      </c>
      <c r="X40" s="813"/>
      <c r="Y40" s="371"/>
      <c r="Z40" s="386" t="s">
        <v>2</v>
      </c>
      <c r="AA40" s="380" t="s">
        <v>2</v>
      </c>
      <c r="AB40" s="380" t="s">
        <v>2</v>
      </c>
      <c r="AC40" s="379" t="s">
        <v>2</v>
      </c>
      <c r="AD40" s="379" t="s">
        <v>2</v>
      </c>
      <c r="AE40" s="379" t="s">
        <v>2</v>
      </c>
      <c r="AF40" s="379"/>
      <c r="AG40" s="380" t="s">
        <v>2</v>
      </c>
      <c r="AH40" s="380" t="s">
        <v>2</v>
      </c>
      <c r="AI40" s="380" t="s">
        <v>2</v>
      </c>
      <c r="AJ40" s="380" t="s">
        <v>2</v>
      </c>
      <c r="AL40" s="366">
        <v>35</v>
      </c>
    </row>
    <row r="41" spans="1:38" s="1" customFormat="1" ht="12.75" customHeight="1" x14ac:dyDescent="0.25">
      <c r="A41" s="369">
        <v>1</v>
      </c>
      <c r="B41" s="403"/>
      <c r="C41" s="612" t="s">
        <v>20</v>
      </c>
      <c r="D41" s="612"/>
      <c r="E41" s="612"/>
      <c r="F41" s="612"/>
      <c r="G41" s="612"/>
      <c r="H41" s="613"/>
      <c r="I41" s="605"/>
      <c r="J41" s="621"/>
      <c r="K41" s="621"/>
      <c r="L41" s="621"/>
      <c r="M41" s="674"/>
      <c r="N41" s="834"/>
      <c r="O41" s="656"/>
      <c r="P41" s="834"/>
      <c r="Q41" s="834"/>
      <c r="R41" s="656"/>
      <c r="S41" s="835"/>
      <c r="T41" s="836"/>
      <c r="U41" s="837"/>
      <c r="V41" s="838"/>
      <c r="W41" s="944">
        <f>U41*S41</f>
        <v>0</v>
      </c>
      <c r="X41" s="944"/>
      <c r="Y41" s="371"/>
      <c r="Z41" s="386">
        <f>IF(Z$3=0,0,IF(Z$3=1,AA41,IF(Z$3=2,AB41,IF(Z$3=3,AC41,IF(Z$3=4,AD41,IF(Z$3=5,AE41,IF(Z$3=6,AG41,IF(Z$3=7,AH41,IF(Z$3=8,AI41,IF(Z$3=9,AJ41,0))))))))))</f>
        <v>1</v>
      </c>
      <c r="AA41" s="380">
        <v>1</v>
      </c>
      <c r="AB41" s="380">
        <v>1</v>
      </c>
      <c r="AC41" s="379">
        <v>1</v>
      </c>
      <c r="AD41" s="379">
        <v>1</v>
      </c>
      <c r="AE41" s="379">
        <v>1</v>
      </c>
      <c r="AF41" s="379"/>
      <c r="AG41" s="380">
        <v>1</v>
      </c>
      <c r="AH41" s="380">
        <v>1</v>
      </c>
      <c r="AI41" s="380">
        <v>1</v>
      </c>
      <c r="AJ41" s="380">
        <v>1</v>
      </c>
      <c r="AL41" s="366">
        <v>40</v>
      </c>
    </row>
    <row r="42" spans="1:38" s="1" customFormat="1" ht="12.75" customHeight="1" x14ac:dyDescent="0.25">
      <c r="A42" s="369">
        <f>A41+1</f>
        <v>2</v>
      </c>
      <c r="B42" s="403"/>
      <c r="C42" s="612" t="s">
        <v>290</v>
      </c>
      <c r="D42" s="612"/>
      <c r="E42" s="612"/>
      <c r="F42" s="612"/>
      <c r="G42" s="612"/>
      <c r="H42" s="613"/>
      <c r="I42" s="605"/>
      <c r="J42" s="621"/>
      <c r="K42" s="621"/>
      <c r="L42" s="621"/>
      <c r="M42" s="674"/>
      <c r="N42" s="834"/>
      <c r="O42" s="656"/>
      <c r="P42" s="834"/>
      <c r="Q42" s="834"/>
      <c r="R42" s="656"/>
      <c r="S42" s="701"/>
      <c r="T42" s="702"/>
      <c r="U42" s="753"/>
      <c r="V42" s="754"/>
      <c r="W42" s="833">
        <f>S42*U42</f>
        <v>0</v>
      </c>
      <c r="X42" s="833"/>
      <c r="Y42" s="371"/>
      <c r="Z42" s="386">
        <f>IF(Z$3=0,0,IF(Z$3=1,AA42,IF(Z$3=2,AB42,IF(Z$3=3,AC42,IF(Z$3=4,AD42,IF(Z$3=5,AE42,IF(Z$3=6,AG42,IF(Z$3=7,AH42,IF(Z$3=8,AI42,IF(Z$3=9,AJ42,0))))))))))</f>
        <v>1</v>
      </c>
      <c r="AA42" s="380">
        <v>1</v>
      </c>
      <c r="AB42" s="380">
        <v>1</v>
      </c>
      <c r="AC42" s="379">
        <v>1</v>
      </c>
      <c r="AD42" s="379">
        <v>1</v>
      </c>
      <c r="AE42" s="379">
        <v>1</v>
      </c>
      <c r="AF42" s="379"/>
      <c r="AG42" s="380">
        <v>1</v>
      </c>
      <c r="AH42" s="380">
        <v>1</v>
      </c>
      <c r="AI42" s="380">
        <v>1</v>
      </c>
      <c r="AJ42" s="380">
        <v>1</v>
      </c>
      <c r="AL42" s="366">
        <v>45</v>
      </c>
    </row>
    <row r="43" spans="1:38" s="1" customFormat="1" ht="12.75" customHeight="1" x14ac:dyDescent="0.25">
      <c r="A43" s="369">
        <f>A42+1</f>
        <v>3</v>
      </c>
      <c r="B43" s="403"/>
      <c r="C43" s="612" t="s">
        <v>550</v>
      </c>
      <c r="D43" s="612"/>
      <c r="E43" s="612"/>
      <c r="F43" s="612"/>
      <c r="G43" s="612"/>
      <c r="H43" s="612"/>
      <c r="I43" s="635" t="s">
        <v>549</v>
      </c>
      <c r="J43" s="635"/>
      <c r="K43" s="635"/>
      <c r="L43" s="635"/>
      <c r="M43" s="635"/>
      <c r="N43" s="636"/>
      <c r="O43" s="701">
        <v>3</v>
      </c>
      <c r="P43" s="702"/>
      <c r="Q43" s="778" t="s">
        <v>552</v>
      </c>
      <c r="R43" s="857"/>
      <c r="S43" s="785" t="e">
        <f>IF(J59="x",W42/U41/O43,W43)</f>
        <v>#DIV/0!</v>
      </c>
      <c r="T43" s="785"/>
      <c r="U43" s="778" t="s">
        <v>551</v>
      </c>
      <c r="V43" s="857"/>
      <c r="W43" s="785" t="e">
        <f>W42/W41</f>
        <v>#DIV/0!</v>
      </c>
      <c r="X43" s="785"/>
      <c r="Y43" s="371"/>
      <c r="Z43" s="386">
        <f>IF(Z$3=0,0,IF(Z$3=1,AA43,IF(Z$3=2,AB43,IF(Z$3=3,AC43,IF(Z$3=4,AD43,IF(Z$3=5,AE43,IF(Z$3=6,AG43,IF(Z$3=7,AH43,IF(Z$3=8,AI43,IF(Z$3=9,AJ43,0))))))))))</f>
        <v>1</v>
      </c>
      <c r="AA43" s="380">
        <v>1</v>
      </c>
      <c r="AB43" s="380">
        <v>1</v>
      </c>
      <c r="AC43" s="379">
        <v>1</v>
      </c>
      <c r="AD43" s="379">
        <v>1</v>
      </c>
      <c r="AE43" s="379">
        <v>1</v>
      </c>
      <c r="AF43" s="379"/>
      <c r="AG43" s="380">
        <v>1</v>
      </c>
      <c r="AH43" s="380">
        <v>1</v>
      </c>
      <c r="AI43" s="380">
        <v>1</v>
      </c>
      <c r="AJ43" s="380">
        <v>1</v>
      </c>
      <c r="AL43" s="366"/>
    </row>
    <row r="44" spans="1:38" s="1" customFormat="1" ht="12.75" customHeight="1" x14ac:dyDescent="0.25">
      <c r="A44" s="369">
        <f>A43+1</f>
        <v>4</v>
      </c>
      <c r="B44" s="403"/>
      <c r="C44" s="615" t="s">
        <v>21</v>
      </c>
      <c r="D44" s="615"/>
      <c r="E44" s="615"/>
      <c r="F44" s="615"/>
      <c r="G44" s="582" t="s">
        <v>739</v>
      </c>
      <c r="H44" s="582"/>
      <c r="I44" s="582"/>
      <c r="J44" s="839" t="s">
        <v>738</v>
      </c>
      <c r="K44" s="839"/>
      <c r="L44" s="839"/>
      <c r="M44" s="853" t="s">
        <v>536</v>
      </c>
      <c r="N44" s="583"/>
      <c r="O44" s="856"/>
      <c r="P44" s="856"/>
      <c r="Q44" s="581" t="s">
        <v>537</v>
      </c>
      <c r="R44" s="583"/>
      <c r="S44" s="848"/>
      <c r="T44" s="848"/>
      <c r="U44" s="581" t="s">
        <v>538</v>
      </c>
      <c r="V44" s="583"/>
      <c r="W44" s="848"/>
      <c r="X44" s="848"/>
      <c r="Y44" s="371"/>
      <c r="Z44" s="386">
        <f>IF(Z$3=0,0,IF(Z$3=1,AA44,IF(Z$3=2,AB44,IF(Z$3=3,AC44,IF(Z$3=4,AD44,IF(Z$3=5,AE44,IF(Z$3=6,AG44,IF(Z$3=7,AH44,IF(Z$3=8,AI44,IF(Z$3=9,AJ44,0))))))))))</f>
        <v>1</v>
      </c>
      <c r="AA44" s="380">
        <v>1</v>
      </c>
      <c r="AB44" s="380">
        <v>1</v>
      </c>
      <c r="AC44" s="379">
        <v>1</v>
      </c>
      <c r="AD44" s="379">
        <v>1</v>
      </c>
      <c r="AE44" s="379">
        <v>1</v>
      </c>
      <c r="AF44" s="379"/>
      <c r="AG44" s="380">
        <v>1</v>
      </c>
      <c r="AH44" s="380">
        <v>1</v>
      </c>
      <c r="AI44" s="380">
        <v>1</v>
      </c>
      <c r="AJ44" s="380">
        <v>1</v>
      </c>
      <c r="AL44" s="1" t="s">
        <v>811</v>
      </c>
    </row>
    <row r="45" spans="1:38" s="1" customFormat="1" ht="12.75" customHeight="1" x14ac:dyDescent="0.25">
      <c r="A45" s="369">
        <f>A44+1</f>
        <v>5</v>
      </c>
      <c r="B45" s="403"/>
      <c r="C45" s="578"/>
      <c r="D45" s="578"/>
      <c r="E45" s="578"/>
      <c r="F45" s="578"/>
      <c r="G45" s="578"/>
      <c r="H45" s="578"/>
      <c r="I45" s="578"/>
      <c r="J45" s="578"/>
      <c r="K45" s="578"/>
      <c r="L45" s="578"/>
      <c r="M45" s="853" t="s">
        <v>95</v>
      </c>
      <c r="N45" s="583"/>
      <c r="O45" s="854">
        <f>O44</f>
        <v>0</v>
      </c>
      <c r="P45" s="854"/>
      <c r="Q45" s="581" t="s">
        <v>94</v>
      </c>
      <c r="R45" s="583"/>
      <c r="S45" s="855">
        <f>S44+40*W44</f>
        <v>0</v>
      </c>
      <c r="T45" s="855"/>
      <c r="U45" s="581" t="s">
        <v>96</v>
      </c>
      <c r="V45" s="583"/>
      <c r="W45" s="848"/>
      <c r="X45" s="848"/>
      <c r="Y45" s="371"/>
      <c r="Z45" s="386">
        <f>IF(Z$3=0,0,IF(Z$3=1,AA45,IF(Z$3=2,AB45,IF(Z$3=3,AC45,IF(Z$3=4,AD45,IF(Z$3=5,AE45,IF(Z$3=6,AG45,IF(Z$3=7,AH45,IF(Z$3=8,AI45,IF(Z$3=9,AJ45,0))))))))))</f>
        <v>1</v>
      </c>
      <c r="AA45" s="380">
        <v>1</v>
      </c>
      <c r="AB45" s="380">
        <v>1</v>
      </c>
      <c r="AC45" s="379">
        <v>1</v>
      </c>
      <c r="AD45" s="379">
        <v>1</v>
      </c>
      <c r="AE45" s="379">
        <v>1</v>
      </c>
      <c r="AF45" s="379"/>
      <c r="AG45" s="380">
        <v>1</v>
      </c>
      <c r="AH45" s="380">
        <v>1</v>
      </c>
      <c r="AI45" s="380">
        <v>1</v>
      </c>
      <c r="AJ45" s="380">
        <v>1</v>
      </c>
      <c r="AL45" s="2" t="s">
        <v>812</v>
      </c>
    </row>
    <row r="46" spans="1:38" s="1" customFormat="1" ht="12.75" customHeight="1" x14ac:dyDescent="0.25">
      <c r="A46" s="369"/>
      <c r="B46" s="403"/>
      <c r="C46" s="612" t="s">
        <v>553</v>
      </c>
      <c r="D46" s="612"/>
      <c r="E46" s="612"/>
      <c r="F46" s="612"/>
      <c r="G46" s="626" t="s">
        <v>555</v>
      </c>
      <c r="H46" s="626"/>
      <c r="I46" s="626" t="s">
        <v>392</v>
      </c>
      <c r="J46" s="626"/>
      <c r="K46" s="626" t="s">
        <v>233</v>
      </c>
      <c r="L46" s="626"/>
      <c r="M46" s="626" t="s">
        <v>340</v>
      </c>
      <c r="N46" s="626"/>
      <c r="O46" s="599" t="s">
        <v>341</v>
      </c>
      <c r="P46" s="599"/>
      <c r="Q46" s="599" t="s">
        <v>234</v>
      </c>
      <c r="R46" s="599"/>
      <c r="S46" s="599" t="s">
        <v>99</v>
      </c>
      <c r="T46" s="599"/>
      <c r="U46" s="626" t="s">
        <v>399</v>
      </c>
      <c r="V46" s="626"/>
      <c r="W46" s="626" t="s">
        <v>400</v>
      </c>
      <c r="X46" s="626"/>
      <c r="Y46" s="371"/>
      <c r="Z46" s="386" t="s">
        <v>2</v>
      </c>
      <c r="AA46" s="379" t="s">
        <v>2</v>
      </c>
      <c r="AB46" s="379" t="s">
        <v>2</v>
      </c>
      <c r="AC46" s="379" t="s">
        <v>2</v>
      </c>
      <c r="AD46" s="379" t="s">
        <v>2</v>
      </c>
      <c r="AE46" s="379" t="s">
        <v>2</v>
      </c>
      <c r="AF46" s="379"/>
      <c r="AG46" s="380" t="s">
        <v>2</v>
      </c>
      <c r="AH46" s="380" t="s">
        <v>2</v>
      </c>
      <c r="AI46" s="380" t="s">
        <v>2</v>
      </c>
      <c r="AJ46" s="380" t="s">
        <v>2</v>
      </c>
      <c r="AL46" s="1" t="s">
        <v>813</v>
      </c>
    </row>
    <row r="47" spans="1:38" s="1" customFormat="1" ht="12.75" customHeight="1" x14ac:dyDescent="0.25">
      <c r="A47" s="369">
        <f>A45+1</f>
        <v>6</v>
      </c>
      <c r="B47" s="403"/>
      <c r="C47" s="626" t="s">
        <v>556</v>
      </c>
      <c r="D47" s="626"/>
      <c r="E47" s="846"/>
      <c r="F47" s="847"/>
      <c r="G47" s="813" t="s">
        <v>554</v>
      </c>
      <c r="H47" s="813"/>
      <c r="I47" s="813" t="s">
        <v>59</v>
      </c>
      <c r="J47" s="813"/>
      <c r="K47" s="813" t="s">
        <v>396</v>
      </c>
      <c r="L47" s="813"/>
      <c r="M47" s="813" t="s">
        <v>36</v>
      </c>
      <c r="N47" s="813"/>
      <c r="O47" s="813" t="s">
        <v>36</v>
      </c>
      <c r="P47" s="813"/>
      <c r="Q47" s="813" t="s">
        <v>232</v>
      </c>
      <c r="R47" s="813"/>
      <c r="S47" s="813" t="s">
        <v>231</v>
      </c>
      <c r="T47" s="813"/>
      <c r="U47" s="626" t="s">
        <v>335</v>
      </c>
      <c r="V47" s="626"/>
      <c r="W47" s="626" t="s">
        <v>235</v>
      </c>
      <c r="X47" s="626"/>
      <c r="Y47" s="371"/>
      <c r="Z47" s="386">
        <f>IF(Z$3=0,0,IF(Z$3=1,AA47,IF(Z$3=2,AB47,IF(Z$3=3,AC47,IF(Z$3=4,AD47,IF(Z$3=5,AE47,IF(Z$3=6,AG47,IF(Z$3=7,AH47,IF(Z$3=8,AI47,IF(Z$3=9,AJ47,0))))))))))</f>
        <v>1</v>
      </c>
      <c r="AA47" s="380">
        <v>1</v>
      </c>
      <c r="AB47" s="380">
        <v>1</v>
      </c>
      <c r="AC47" s="379">
        <v>1</v>
      </c>
      <c r="AD47" s="379">
        <v>1</v>
      </c>
      <c r="AE47" s="379">
        <v>1</v>
      </c>
      <c r="AF47" s="379"/>
      <c r="AG47" s="380">
        <v>1</v>
      </c>
      <c r="AH47" s="380">
        <v>1</v>
      </c>
      <c r="AI47" s="380">
        <v>1</v>
      </c>
      <c r="AJ47" s="380">
        <v>1</v>
      </c>
      <c r="AL47" s="1" t="s">
        <v>753</v>
      </c>
    </row>
    <row r="48" spans="1:38" s="1" customFormat="1" ht="12.75" customHeight="1" x14ac:dyDescent="0.25">
      <c r="A48" s="369">
        <f>A47+1</f>
        <v>7</v>
      </c>
      <c r="B48" s="403"/>
      <c r="C48" s="612" t="s">
        <v>17</v>
      </c>
      <c r="D48" s="612"/>
      <c r="E48" s="612"/>
      <c r="F48" s="612"/>
      <c r="G48" s="835"/>
      <c r="H48" s="836"/>
      <c r="I48" s="831">
        <f>G48*S41</f>
        <v>0</v>
      </c>
      <c r="J48" s="832"/>
      <c r="K48" s="701"/>
      <c r="L48" s="702"/>
      <c r="M48" s="622" t="e">
        <f>I48/W41*K48</f>
        <v>#DIV/0!</v>
      </c>
      <c r="N48" s="623"/>
      <c r="O48" s="844" t="e">
        <f>M48/K48</f>
        <v>#DIV/0!</v>
      </c>
      <c r="P48" s="845"/>
      <c r="Q48" s="835"/>
      <c r="R48" s="836"/>
      <c r="S48" s="827"/>
      <c r="T48" s="828"/>
      <c r="U48" s="717">
        <f>I48*Q48*S48/3600</f>
        <v>0</v>
      </c>
      <c r="V48" s="718"/>
      <c r="W48" s="829" t="e">
        <f>Q48*S48*O48/3600</f>
        <v>#DIV/0!</v>
      </c>
      <c r="X48" s="830"/>
      <c r="Y48" s="371"/>
      <c r="Z48" s="386">
        <f>IF(Z$3=0,0,IF(Z$3=1,AA48,IF(Z$3=2,AB48,IF(Z$3=3,AC48,IF(Z$3=4,AD48,IF(Z$3=5,AE48,IF(Z$3=6,AG48,IF(Z$3=7,AH48,IF(Z$3=8,AI48,IF(Z$3=9,AJ48,0))))))))))</f>
        <v>1</v>
      </c>
      <c r="AA48" s="380">
        <v>1</v>
      </c>
      <c r="AB48" s="380">
        <v>1</v>
      </c>
      <c r="AC48" s="379">
        <v>1</v>
      </c>
      <c r="AD48" s="379">
        <v>1</v>
      </c>
      <c r="AE48" s="379">
        <v>1</v>
      </c>
      <c r="AF48" s="379"/>
      <c r="AG48" s="380">
        <v>1</v>
      </c>
      <c r="AH48" s="380">
        <v>1</v>
      </c>
      <c r="AI48" s="380">
        <v>1</v>
      </c>
      <c r="AJ48" s="380">
        <v>1</v>
      </c>
      <c r="AL48" s="5" t="s">
        <v>238</v>
      </c>
    </row>
    <row r="49" spans="1:39" s="5" customFormat="1" ht="12.75" customHeight="1" x14ac:dyDescent="0.25">
      <c r="A49" s="369">
        <f>A48+1</f>
        <v>8</v>
      </c>
      <c r="B49" s="403"/>
      <c r="C49" s="612" t="s">
        <v>75</v>
      </c>
      <c r="D49" s="612"/>
      <c r="E49" s="612"/>
      <c r="F49" s="612"/>
      <c r="G49" s="612"/>
      <c r="H49" s="613"/>
      <c r="I49" s="831" t="e">
        <f>U49*3600/S49/Q49</f>
        <v>#DIV/0!</v>
      </c>
      <c r="J49" s="832"/>
      <c r="K49" s="805"/>
      <c r="L49" s="806"/>
      <c r="M49" s="806"/>
      <c r="N49" s="806"/>
      <c r="O49" s="806"/>
      <c r="P49" s="807"/>
      <c r="Q49" s="808"/>
      <c r="R49" s="808"/>
      <c r="S49" s="809"/>
      <c r="T49" s="809"/>
      <c r="U49" s="810">
        <f>U48</f>
        <v>0</v>
      </c>
      <c r="V49" s="810"/>
      <c r="W49" s="811"/>
      <c r="X49" s="812"/>
      <c r="Y49" s="369"/>
      <c r="Z49" s="386">
        <f>IF(Z$3=0,0,IF(Z$3=1,AA49,IF(Z$3=2,AB49,IF(Z$3=3,AC49,IF(Z$3=4,AD49,IF(Z$3=5,AE49,IF(Z$3=6,AG49,IF(Z$3=7,AH49,IF(Z$3=8,AI49,IF(Z$3=9,AJ49,0))))))))))</f>
        <v>1</v>
      </c>
      <c r="AA49" s="380">
        <v>1</v>
      </c>
      <c r="AB49" s="380">
        <v>1</v>
      </c>
      <c r="AC49" s="379">
        <v>1</v>
      </c>
      <c r="AD49" s="379">
        <v>1</v>
      </c>
      <c r="AE49" s="379">
        <v>1</v>
      </c>
      <c r="AF49" s="379"/>
      <c r="AG49" s="380">
        <v>1</v>
      </c>
      <c r="AH49" s="380">
        <v>1</v>
      </c>
      <c r="AI49" s="380">
        <v>1</v>
      </c>
      <c r="AJ49" s="380">
        <v>1</v>
      </c>
    </row>
    <row r="50" spans="1:39" s="5" customFormat="1" ht="12.75" customHeight="1" x14ac:dyDescent="0.25">
      <c r="A50" s="369"/>
      <c r="B50" s="369"/>
      <c r="C50" s="368"/>
      <c r="D50" s="368"/>
      <c r="E50" s="368"/>
      <c r="F50" s="368"/>
      <c r="G50" s="368"/>
      <c r="H50" s="363"/>
      <c r="I50" s="353"/>
      <c r="J50" s="353"/>
      <c r="K50" s="351"/>
      <c r="L50" s="351"/>
      <c r="M50" s="351"/>
      <c r="N50" s="351"/>
      <c r="O50" s="351"/>
      <c r="P50" s="351"/>
      <c r="Q50" s="353"/>
      <c r="R50" s="353"/>
      <c r="S50" s="393"/>
      <c r="T50" s="393"/>
      <c r="U50" s="354"/>
      <c r="V50" s="354"/>
      <c r="W50" s="352"/>
      <c r="X50" s="352"/>
      <c r="Y50" s="369"/>
      <c r="Z50" s="386" t="s">
        <v>2</v>
      </c>
      <c r="AA50" s="380" t="s">
        <v>2</v>
      </c>
      <c r="AB50" s="380" t="s">
        <v>2</v>
      </c>
      <c r="AC50" s="379" t="s">
        <v>2</v>
      </c>
      <c r="AD50" s="379" t="s">
        <v>2</v>
      </c>
      <c r="AE50" s="379" t="s">
        <v>2</v>
      </c>
      <c r="AF50" s="379"/>
      <c r="AG50" s="380" t="s">
        <v>2</v>
      </c>
      <c r="AH50" s="380" t="s">
        <v>2</v>
      </c>
      <c r="AI50" s="380" t="s">
        <v>2</v>
      </c>
      <c r="AJ50" s="380" t="s">
        <v>2</v>
      </c>
      <c r="AL50" s="363" t="s">
        <v>143</v>
      </c>
    </row>
    <row r="51" spans="1:39" s="571" customFormat="1" ht="12.75" customHeight="1" x14ac:dyDescent="0.25">
      <c r="A51" s="569"/>
      <c r="B51" s="569"/>
      <c r="C51" s="567"/>
      <c r="D51" s="567"/>
      <c r="E51" s="567"/>
      <c r="F51" s="567"/>
      <c r="G51" s="567"/>
      <c r="H51" s="568"/>
      <c r="I51" s="353"/>
      <c r="J51" s="353"/>
      <c r="K51" s="351"/>
      <c r="L51" s="351"/>
      <c r="M51" s="351"/>
      <c r="N51" s="351"/>
      <c r="O51" s="351"/>
      <c r="P51" s="351"/>
      <c r="Q51" s="353"/>
      <c r="R51" s="353"/>
      <c r="S51" s="393"/>
      <c r="T51" s="393"/>
      <c r="U51" s="354"/>
      <c r="V51" s="354"/>
      <c r="W51" s="352"/>
      <c r="X51" s="352"/>
      <c r="Y51" s="569"/>
      <c r="Z51" s="386"/>
      <c r="AA51" s="380"/>
      <c r="AB51" s="380"/>
      <c r="AC51" s="379"/>
      <c r="AD51" s="379"/>
      <c r="AE51" s="379"/>
      <c r="AF51" s="379"/>
      <c r="AG51" s="380"/>
      <c r="AH51" s="380"/>
      <c r="AI51" s="380"/>
      <c r="AJ51" s="380"/>
      <c r="AL51" s="568"/>
    </row>
    <row r="52" spans="1:39" s="571" customFormat="1" ht="12.75" customHeight="1" x14ac:dyDescent="0.25">
      <c r="A52" s="569"/>
      <c r="B52" s="569"/>
      <c r="C52" s="567"/>
      <c r="D52" s="567"/>
      <c r="E52" s="567"/>
      <c r="F52" s="567"/>
      <c r="G52" s="567"/>
      <c r="H52" s="568"/>
      <c r="I52" s="353"/>
      <c r="J52" s="353"/>
      <c r="K52" s="351"/>
      <c r="L52" s="351"/>
      <c r="M52" s="351"/>
      <c r="N52" s="351"/>
      <c r="O52" s="351"/>
      <c r="P52" s="351"/>
      <c r="Q52" s="353"/>
      <c r="R52" s="353"/>
      <c r="S52" s="393"/>
      <c r="T52" s="393"/>
      <c r="U52" s="354"/>
      <c r="V52" s="354"/>
      <c r="W52" s="352"/>
      <c r="X52" s="352"/>
      <c r="Y52" s="569"/>
      <c r="Z52" s="386"/>
      <c r="AA52" s="380"/>
      <c r="AB52" s="380"/>
      <c r="AC52" s="379"/>
      <c r="AD52" s="379"/>
      <c r="AE52" s="379"/>
      <c r="AF52" s="379"/>
      <c r="AG52" s="380"/>
      <c r="AH52" s="380"/>
      <c r="AI52" s="380"/>
      <c r="AJ52" s="380"/>
      <c r="AL52" s="568"/>
    </row>
    <row r="53" spans="1:39" s="571" customFormat="1" ht="12.75" customHeight="1" x14ac:dyDescent="0.25">
      <c r="A53" s="569"/>
      <c r="B53" s="569"/>
      <c r="C53" s="567"/>
      <c r="D53" s="567"/>
      <c r="E53" s="567"/>
      <c r="F53" s="567"/>
      <c r="G53" s="567"/>
      <c r="H53" s="568"/>
      <c r="I53" s="353"/>
      <c r="J53" s="353"/>
      <c r="K53" s="351"/>
      <c r="L53" s="351"/>
      <c r="M53" s="351"/>
      <c r="N53" s="351"/>
      <c r="O53" s="351"/>
      <c r="P53" s="351"/>
      <c r="Q53" s="353"/>
      <c r="R53" s="353"/>
      <c r="S53" s="393"/>
      <c r="T53" s="393"/>
      <c r="U53" s="354"/>
      <c r="V53" s="354"/>
      <c r="W53" s="352"/>
      <c r="X53" s="352"/>
      <c r="Y53" s="569"/>
      <c r="Z53" s="386"/>
      <c r="AA53" s="380"/>
      <c r="AB53" s="380"/>
      <c r="AC53" s="379"/>
      <c r="AD53" s="379"/>
      <c r="AE53" s="379"/>
      <c r="AF53" s="379"/>
      <c r="AG53" s="380"/>
      <c r="AH53" s="380"/>
      <c r="AI53" s="380"/>
      <c r="AJ53" s="380"/>
      <c r="AL53" s="568"/>
    </row>
    <row r="54" spans="1:39" s="5" customFormat="1" ht="12.75" customHeight="1" x14ac:dyDescent="0.25">
      <c r="A54" s="369"/>
      <c r="B54" s="369"/>
      <c r="C54" s="368"/>
      <c r="D54" s="368"/>
      <c r="E54" s="368"/>
      <c r="F54" s="368"/>
      <c r="G54" s="368"/>
      <c r="H54" s="363"/>
      <c r="I54" s="353"/>
      <c r="J54" s="353"/>
      <c r="K54" s="351"/>
      <c r="L54" s="351"/>
      <c r="M54" s="351"/>
      <c r="N54" s="351"/>
      <c r="O54" s="351"/>
      <c r="P54" s="351"/>
      <c r="Q54" s="353"/>
      <c r="R54" s="353"/>
      <c r="S54" s="393"/>
      <c r="T54" s="393"/>
      <c r="U54" s="354"/>
      <c r="V54" s="354"/>
      <c r="W54" s="352"/>
      <c r="X54" s="352"/>
      <c r="Y54" s="369"/>
      <c r="Z54" s="386" t="s">
        <v>2</v>
      </c>
      <c r="AA54" s="380" t="s">
        <v>2</v>
      </c>
      <c r="AB54" s="380" t="s">
        <v>2</v>
      </c>
      <c r="AC54" s="379" t="s">
        <v>2</v>
      </c>
      <c r="AD54" s="379" t="s">
        <v>2</v>
      </c>
      <c r="AE54" s="379" t="s">
        <v>2</v>
      </c>
      <c r="AF54" s="379"/>
      <c r="AG54" s="380" t="s">
        <v>2</v>
      </c>
      <c r="AH54" s="380" t="s">
        <v>2</v>
      </c>
      <c r="AI54" s="380" t="s">
        <v>2</v>
      </c>
      <c r="AJ54" s="380" t="s">
        <v>2</v>
      </c>
      <c r="AL54" s="363" t="s">
        <v>0</v>
      </c>
    </row>
    <row r="55" spans="1:39" s="571" customFormat="1" ht="12.75" customHeight="1" x14ac:dyDescent="0.25">
      <c r="A55" s="569"/>
      <c r="B55" s="569"/>
      <c r="C55" s="567"/>
      <c r="D55" s="567"/>
      <c r="E55" s="567"/>
      <c r="F55" s="567"/>
      <c r="G55" s="567"/>
      <c r="H55" s="568"/>
      <c r="I55" s="353"/>
      <c r="J55" s="353"/>
      <c r="K55" s="351"/>
      <c r="L55" s="351"/>
      <c r="M55" s="351"/>
      <c r="N55" s="351"/>
      <c r="O55" s="351"/>
      <c r="P55" s="351"/>
      <c r="Q55" s="353"/>
      <c r="R55" s="353"/>
      <c r="S55" s="393"/>
      <c r="T55" s="393"/>
      <c r="U55" s="354"/>
      <c r="V55" s="354"/>
      <c r="W55" s="352"/>
      <c r="X55" s="352"/>
      <c r="Y55" s="569"/>
      <c r="Z55" s="386"/>
      <c r="AA55" s="380"/>
      <c r="AB55" s="380"/>
      <c r="AC55" s="379"/>
      <c r="AD55" s="379"/>
      <c r="AE55" s="379"/>
      <c r="AF55" s="379"/>
      <c r="AG55" s="380"/>
      <c r="AH55" s="380"/>
      <c r="AI55" s="380"/>
      <c r="AJ55" s="380"/>
      <c r="AL55" s="568"/>
    </row>
    <row r="56" spans="1:39" s="571" customFormat="1" ht="12.75" customHeight="1" x14ac:dyDescent="0.25">
      <c r="A56" s="569"/>
      <c r="B56" s="569"/>
      <c r="C56" s="567"/>
      <c r="D56" s="567"/>
      <c r="E56" s="567"/>
      <c r="F56" s="567"/>
      <c r="G56" s="567"/>
      <c r="H56" s="568"/>
      <c r="I56" s="353"/>
      <c r="J56" s="353"/>
      <c r="K56" s="351"/>
      <c r="L56" s="351"/>
      <c r="M56" s="351"/>
      <c r="N56" s="351"/>
      <c r="O56" s="351"/>
      <c r="P56" s="351"/>
      <c r="Q56" s="353"/>
      <c r="R56" s="353"/>
      <c r="S56" s="393"/>
      <c r="T56" s="393"/>
      <c r="U56" s="354"/>
      <c r="V56" s="354"/>
      <c r="W56" s="352"/>
      <c r="X56" s="352"/>
      <c r="Y56" s="569"/>
      <c r="Z56" s="386"/>
      <c r="AA56" s="380"/>
      <c r="AB56" s="380"/>
      <c r="AC56" s="379"/>
      <c r="AD56" s="379"/>
      <c r="AE56" s="379"/>
      <c r="AF56" s="379"/>
      <c r="AG56" s="380"/>
      <c r="AH56" s="380"/>
      <c r="AI56" s="380"/>
      <c r="AJ56" s="380"/>
      <c r="AL56" s="568"/>
    </row>
    <row r="57" spans="1:39" s="543" customFormat="1" ht="12.75" customHeight="1" x14ac:dyDescent="0.25">
      <c r="A57" s="556"/>
      <c r="B57" s="541" t="s">
        <v>698</v>
      </c>
      <c r="C57" s="637" t="s">
        <v>237</v>
      </c>
      <c r="D57" s="637"/>
      <c r="E57" s="637"/>
      <c r="F57" s="637"/>
      <c r="G57" s="637"/>
      <c r="H57" s="637"/>
      <c r="I57" s="637"/>
      <c r="J57" s="637"/>
      <c r="K57" s="637"/>
      <c r="L57" s="637"/>
      <c r="M57" s="637"/>
      <c r="N57" s="637"/>
      <c r="O57" s="637"/>
      <c r="P57" s="637"/>
      <c r="Q57" s="637"/>
      <c r="R57" s="637"/>
      <c r="S57" s="637"/>
      <c r="T57" s="637"/>
      <c r="U57" s="637"/>
      <c r="V57" s="637"/>
      <c r="W57" s="637"/>
      <c r="X57" s="637"/>
      <c r="Y57" s="545"/>
      <c r="Z57" s="546" t="s">
        <v>2</v>
      </c>
      <c r="AA57" s="547" t="s">
        <v>2</v>
      </c>
      <c r="AB57" s="547" t="s">
        <v>2</v>
      </c>
      <c r="AC57" s="548" t="s">
        <v>2</v>
      </c>
      <c r="AD57" s="548" t="s">
        <v>2</v>
      </c>
      <c r="AE57" s="548" t="s">
        <v>2</v>
      </c>
      <c r="AF57" s="548"/>
      <c r="AG57" s="547" t="s">
        <v>2</v>
      </c>
      <c r="AH57" s="547" t="s">
        <v>2</v>
      </c>
      <c r="AI57" s="547" t="s">
        <v>2</v>
      </c>
      <c r="AJ57" s="547" t="s">
        <v>2</v>
      </c>
      <c r="AL57" s="559" t="s">
        <v>721</v>
      </c>
    </row>
    <row r="58" spans="1:39" s="46" customFormat="1" ht="12.75" customHeight="1" x14ac:dyDescent="0.25">
      <c r="A58" s="43"/>
      <c r="B58" s="347"/>
      <c r="C58" s="364"/>
      <c r="D58" s="364"/>
      <c r="E58" s="364"/>
      <c r="F58" s="364"/>
      <c r="G58" s="364"/>
      <c r="H58" s="364"/>
      <c r="I58" s="364"/>
      <c r="J58" s="364"/>
      <c r="K58" s="364"/>
      <c r="L58" s="364"/>
      <c r="M58" s="364"/>
      <c r="N58" s="364"/>
      <c r="O58" s="364"/>
      <c r="P58" s="364"/>
      <c r="Q58" s="364"/>
      <c r="R58" s="364"/>
      <c r="S58" s="364"/>
      <c r="T58" s="364"/>
      <c r="U58" s="364"/>
      <c r="V58" s="364"/>
      <c r="W58" s="364"/>
      <c r="X58" s="364"/>
      <c r="Y58" s="45"/>
      <c r="Z58" s="386" t="s">
        <v>2</v>
      </c>
      <c r="AA58" s="380" t="s">
        <v>2</v>
      </c>
      <c r="AB58" s="380" t="s">
        <v>2</v>
      </c>
      <c r="AC58" s="379" t="s">
        <v>2</v>
      </c>
      <c r="AD58" s="379" t="s">
        <v>2</v>
      </c>
      <c r="AE58" s="379" t="s">
        <v>2</v>
      </c>
      <c r="AF58" s="379"/>
      <c r="AG58" s="380" t="s">
        <v>2</v>
      </c>
      <c r="AH58" s="380" t="s">
        <v>2</v>
      </c>
      <c r="AI58" s="380" t="s">
        <v>2</v>
      </c>
      <c r="AJ58" s="380" t="s">
        <v>2</v>
      </c>
      <c r="AL58" s="391" t="s">
        <v>238</v>
      </c>
      <c r="AM58" s="1"/>
    </row>
    <row r="59" spans="1:39" s="1" customFormat="1" ht="12.75" customHeight="1" x14ac:dyDescent="0.25">
      <c r="A59" s="369">
        <v>1</v>
      </c>
      <c r="B59" s="403"/>
      <c r="C59" s="15"/>
      <c r="D59" s="15"/>
      <c r="E59" s="853" t="s">
        <v>741</v>
      </c>
      <c r="F59" s="583"/>
      <c r="G59" s="937" t="str">
        <f>Q21</f>
        <v>Sólo ACS</v>
      </c>
      <c r="H59" s="937"/>
      <c r="I59" s="937"/>
      <c r="J59" s="358">
        <f>IF(G59="ACS y piscina","x",0)</f>
        <v>0</v>
      </c>
      <c r="K59" s="582" t="s">
        <v>561</v>
      </c>
      <c r="L59" s="582"/>
      <c r="M59" s="582"/>
      <c r="N59" s="582"/>
      <c r="O59" s="582"/>
      <c r="P59" s="582"/>
      <c r="Q59" s="582"/>
      <c r="R59" s="583"/>
      <c r="S59" s="824" t="s">
        <v>539</v>
      </c>
      <c r="T59" s="825"/>
      <c r="U59" s="825"/>
      <c r="V59" s="825"/>
      <c r="W59" s="825"/>
      <c r="X59" s="826"/>
      <c r="Y59" s="371"/>
      <c r="Z59" s="386">
        <f>IF(Z$3=0,0,IF(Z$3=1,AA59,IF(Z$3=2,AB59,IF(Z$3=3,AC59,IF(Z$3=4,AD59,IF(Z$3=5,AE59,IF(Z$3=6,AG59,IF(Z$3=7,AH59,IF(Z$3=8,AI59,IF(Z$3=9,AJ59,0))))))))))</f>
        <v>1</v>
      </c>
      <c r="AA59" s="380">
        <v>1</v>
      </c>
      <c r="AB59" s="380">
        <v>1</v>
      </c>
      <c r="AC59" s="379">
        <v>1</v>
      </c>
      <c r="AD59" s="379">
        <v>1</v>
      </c>
      <c r="AE59" s="379">
        <v>1</v>
      </c>
      <c r="AF59" s="379"/>
      <c r="AG59" s="380">
        <v>1</v>
      </c>
      <c r="AH59" s="380">
        <v>1</v>
      </c>
      <c r="AI59" s="380">
        <v>1</v>
      </c>
      <c r="AJ59" s="380">
        <v>1</v>
      </c>
      <c r="AL59" s="365"/>
    </row>
    <row r="60" spans="1:39" s="6" customFormat="1" ht="12.75" customHeight="1" x14ac:dyDescent="0.25">
      <c r="A60" s="369"/>
      <c r="B60" s="405"/>
      <c r="C60" s="679"/>
      <c r="D60" s="679"/>
      <c r="E60" s="821" t="s">
        <v>23</v>
      </c>
      <c r="F60" s="821"/>
      <c r="G60" s="821" t="s">
        <v>22</v>
      </c>
      <c r="H60" s="821"/>
      <c r="I60" s="821" t="s">
        <v>3</v>
      </c>
      <c r="J60" s="821"/>
      <c r="K60" s="821" t="s">
        <v>83</v>
      </c>
      <c r="L60" s="821"/>
      <c r="M60" s="821" t="s">
        <v>507</v>
      </c>
      <c r="N60" s="821"/>
      <c r="O60" s="821" t="s">
        <v>508</v>
      </c>
      <c r="P60" s="821"/>
      <c r="Q60" s="821" t="s">
        <v>84</v>
      </c>
      <c r="R60" s="821"/>
      <c r="S60" s="822" t="s">
        <v>85</v>
      </c>
      <c r="T60" s="822"/>
      <c r="U60" s="823" t="s">
        <v>24</v>
      </c>
      <c r="V60" s="823"/>
      <c r="W60" s="822" t="s">
        <v>86</v>
      </c>
      <c r="X60" s="822"/>
      <c r="Y60" s="88"/>
      <c r="Z60" s="386" t="s">
        <v>2</v>
      </c>
      <c r="AA60" s="380" t="s">
        <v>2</v>
      </c>
      <c r="AB60" s="380" t="s">
        <v>2</v>
      </c>
      <c r="AC60" s="379" t="s">
        <v>2</v>
      </c>
      <c r="AD60" s="379" t="s">
        <v>2</v>
      </c>
      <c r="AE60" s="379" t="s">
        <v>2</v>
      </c>
      <c r="AF60" s="379"/>
      <c r="AG60" s="380" t="s">
        <v>2</v>
      </c>
      <c r="AH60" s="380" t="s">
        <v>2</v>
      </c>
      <c r="AI60" s="380" t="s">
        <v>2</v>
      </c>
      <c r="AJ60" s="380" t="s">
        <v>2</v>
      </c>
      <c r="AL60" s="363" t="s">
        <v>64</v>
      </c>
    </row>
    <row r="61" spans="1:39" s="6" customFormat="1" ht="12.75" customHeight="1" x14ac:dyDescent="0.25">
      <c r="A61" s="60"/>
      <c r="B61" s="405"/>
      <c r="C61" s="679"/>
      <c r="D61" s="679"/>
      <c r="E61" s="820" t="s">
        <v>26</v>
      </c>
      <c r="F61" s="820"/>
      <c r="G61" s="820" t="s">
        <v>25</v>
      </c>
      <c r="H61" s="820"/>
      <c r="I61" s="820" t="s">
        <v>559</v>
      </c>
      <c r="J61" s="820"/>
      <c r="K61" s="820" t="s">
        <v>25</v>
      </c>
      <c r="L61" s="820"/>
      <c r="M61" s="820" t="s">
        <v>87</v>
      </c>
      <c r="N61" s="820"/>
      <c r="O61" s="820" t="s">
        <v>28</v>
      </c>
      <c r="P61" s="820"/>
      <c r="Q61" s="820" t="s">
        <v>26</v>
      </c>
      <c r="R61" s="820"/>
      <c r="S61" s="820" t="s">
        <v>28</v>
      </c>
      <c r="T61" s="820"/>
      <c r="U61" s="820" t="s">
        <v>26</v>
      </c>
      <c r="V61" s="820"/>
      <c r="W61" s="820" t="s">
        <v>559</v>
      </c>
      <c r="X61" s="820"/>
      <c r="Y61" s="88"/>
      <c r="Z61" s="386" t="s">
        <v>2</v>
      </c>
      <c r="AA61" s="380" t="s">
        <v>2</v>
      </c>
      <c r="AB61" s="380" t="s">
        <v>2</v>
      </c>
      <c r="AC61" s="379" t="s">
        <v>2</v>
      </c>
      <c r="AD61" s="379" t="s">
        <v>2</v>
      </c>
      <c r="AE61" s="379" t="s">
        <v>2</v>
      </c>
      <c r="AF61" s="379"/>
      <c r="AG61" s="380" t="s">
        <v>2</v>
      </c>
      <c r="AH61" s="380" t="s">
        <v>2</v>
      </c>
      <c r="AI61" s="380" t="s">
        <v>2</v>
      </c>
      <c r="AJ61" s="380" t="s">
        <v>2</v>
      </c>
      <c r="AL61" s="363" t="s">
        <v>1</v>
      </c>
    </row>
    <row r="62" spans="1:39" s="1" customFormat="1" ht="12.75" customHeight="1" x14ac:dyDescent="0.25">
      <c r="A62" s="369">
        <f>A59+1</f>
        <v>2</v>
      </c>
      <c r="B62" s="406"/>
      <c r="C62" s="679" t="s">
        <v>4</v>
      </c>
      <c r="D62" s="783"/>
      <c r="E62" s="799"/>
      <c r="F62" s="800"/>
      <c r="G62" s="818">
        <f>CLIMA!C22</f>
        <v>28.4</v>
      </c>
      <c r="H62" s="819"/>
      <c r="I62" s="816">
        <f>VLOOKUP(Q$33,CLIMA!B$2:N$20,2)/3.6</f>
        <v>7.2913888888888883</v>
      </c>
      <c r="J62" s="817"/>
      <c r="K62" s="818">
        <f>CLIMA!C21</f>
        <v>23.7</v>
      </c>
      <c r="L62" s="819"/>
      <c r="M62" s="814">
        <f t="shared" ref="M62:M73" si="4">$N$31*E62/100</f>
        <v>0</v>
      </c>
      <c r="N62" s="815"/>
      <c r="O62" s="814">
        <f>COMPLEMENTOS!C5+COMPLEMENTOS!D5+COMPLEMENTOS!E5</f>
        <v>9.9999999999999995E-7</v>
      </c>
      <c r="P62" s="815"/>
      <c r="Q62" s="814" t="e">
        <f>IF(COMPLEMENTOS!I5&gt;100,100,COMPLEMENTOS!I5)</f>
        <v>#DIV/0!</v>
      </c>
      <c r="R62" s="815"/>
      <c r="S62" s="814" t="e">
        <f t="shared" ref="S62:S73" si="5">O62*Q62/100</f>
        <v>#DIV/0!</v>
      </c>
      <c r="T62" s="815"/>
      <c r="U62" s="814" t="e">
        <f>100*S62/$W$41/I62/COMPLEMENTOS!B5</f>
        <v>#DIV/0!</v>
      </c>
      <c r="V62" s="815"/>
      <c r="W62" s="816" t="e">
        <f>S62/$W$41/COMPLEMENTOS!B5</f>
        <v>#DIV/0!</v>
      </c>
      <c r="X62" s="817"/>
      <c r="Y62" s="371"/>
      <c r="Z62" s="386">
        <f t="shared" ref="Z62:Z73" si="6">IF(Z$3=0,0,IF(Z$3=1,AA62,IF(Z$3=2,AB62,IF(Z$3=3,AC62,IF(Z$3=4,AD62,IF(Z$3=5,AE62,IF(Z$3=6,AG62,IF(Z$3=7,AH62,IF(Z$3=8,AI62,IF(Z$3=9,AJ62,0))))))))))</f>
        <v>1</v>
      </c>
      <c r="AA62" s="380">
        <v>1</v>
      </c>
      <c r="AB62" s="380">
        <v>1</v>
      </c>
      <c r="AC62" s="379">
        <v>1</v>
      </c>
      <c r="AD62" s="379">
        <v>1</v>
      </c>
      <c r="AE62" s="379">
        <v>1</v>
      </c>
      <c r="AF62" s="379"/>
      <c r="AG62" s="380">
        <v>1</v>
      </c>
      <c r="AH62" s="380">
        <v>1</v>
      </c>
      <c r="AI62" s="380">
        <v>1</v>
      </c>
      <c r="AJ62" s="380">
        <v>1</v>
      </c>
      <c r="AL62" s="391" t="s">
        <v>721</v>
      </c>
    </row>
    <row r="63" spans="1:39" s="1" customFormat="1" ht="12.75" customHeight="1" x14ac:dyDescent="0.25">
      <c r="A63" s="369">
        <f t="shared" ref="A63:A73" si="7">A62+1</f>
        <v>3</v>
      </c>
      <c r="B63" s="406"/>
      <c r="C63" s="679" t="s">
        <v>5</v>
      </c>
      <c r="D63" s="783"/>
      <c r="E63" s="799"/>
      <c r="F63" s="800"/>
      <c r="G63" s="803">
        <f>CLIMA!D22</f>
        <v>28.5</v>
      </c>
      <c r="H63" s="804"/>
      <c r="I63" s="797">
        <f>VLOOKUP(Q$33,CLIMA!B$2:N$20,3)/3.6</f>
        <v>6.0550833333333332</v>
      </c>
      <c r="J63" s="798"/>
      <c r="K63" s="803">
        <f>CLIMA!D21</f>
        <v>22.9</v>
      </c>
      <c r="L63" s="804"/>
      <c r="M63" s="795">
        <f t="shared" si="4"/>
        <v>0</v>
      </c>
      <c r="N63" s="796"/>
      <c r="O63" s="795">
        <f>COMPLEMENTOS!C6+COMPLEMENTOS!D6+COMPLEMENTOS!E6</f>
        <v>9.9999999999999995E-7</v>
      </c>
      <c r="P63" s="796"/>
      <c r="Q63" s="795" t="e">
        <f>IF(COMPLEMENTOS!I6&gt;100,100,COMPLEMENTOS!I6)</f>
        <v>#DIV/0!</v>
      </c>
      <c r="R63" s="796"/>
      <c r="S63" s="795" t="e">
        <f t="shared" si="5"/>
        <v>#DIV/0!</v>
      </c>
      <c r="T63" s="796"/>
      <c r="U63" s="795" t="e">
        <f>100*S63/$W$41/I63/COMPLEMENTOS!B6</f>
        <v>#DIV/0!</v>
      </c>
      <c r="V63" s="796"/>
      <c r="W63" s="797" t="e">
        <f>S63/$W$41/COMPLEMENTOS!B6</f>
        <v>#DIV/0!</v>
      </c>
      <c r="X63" s="798"/>
      <c r="Y63" s="371"/>
      <c r="Z63" s="386">
        <f t="shared" si="6"/>
        <v>1</v>
      </c>
      <c r="AA63" s="380">
        <v>1</v>
      </c>
      <c r="AB63" s="380">
        <v>1</v>
      </c>
      <c r="AC63" s="379">
        <v>1</v>
      </c>
      <c r="AD63" s="379">
        <v>1</v>
      </c>
      <c r="AE63" s="379">
        <v>1</v>
      </c>
      <c r="AF63" s="379"/>
      <c r="AG63" s="380">
        <v>1</v>
      </c>
      <c r="AH63" s="380">
        <v>1</v>
      </c>
      <c r="AI63" s="380">
        <v>1</v>
      </c>
      <c r="AJ63" s="380">
        <v>1</v>
      </c>
      <c r="AL63" s="391" t="s">
        <v>238</v>
      </c>
    </row>
    <row r="64" spans="1:39" s="1" customFormat="1" ht="12.75" customHeight="1" x14ac:dyDescent="0.25">
      <c r="A64" s="369">
        <f t="shared" si="7"/>
        <v>4</v>
      </c>
      <c r="B64" s="407"/>
      <c r="C64" s="626" t="s">
        <v>6</v>
      </c>
      <c r="D64" s="600"/>
      <c r="E64" s="799"/>
      <c r="F64" s="800"/>
      <c r="G64" s="801">
        <f>CLIMA!E22</f>
        <v>26.1</v>
      </c>
      <c r="H64" s="802"/>
      <c r="I64" s="793">
        <f>VLOOKUP(Q$33,CLIMA!B$2:N$20,4)/3.6</f>
        <v>4.9903888888888881</v>
      </c>
      <c r="J64" s="794"/>
      <c r="K64" s="801">
        <f>CLIMA!E21</f>
        <v>21.2</v>
      </c>
      <c r="L64" s="802"/>
      <c r="M64" s="791">
        <f t="shared" si="4"/>
        <v>0</v>
      </c>
      <c r="N64" s="792"/>
      <c r="O64" s="791">
        <f>COMPLEMENTOS!C7+COMPLEMENTOS!D7+COMPLEMENTOS!E7</f>
        <v>9.9999999999999995E-7</v>
      </c>
      <c r="P64" s="792"/>
      <c r="Q64" s="791" t="e">
        <f>IF(COMPLEMENTOS!I7&gt;100,100,COMPLEMENTOS!I7)</f>
        <v>#DIV/0!</v>
      </c>
      <c r="R64" s="792"/>
      <c r="S64" s="791" t="e">
        <f t="shared" si="5"/>
        <v>#DIV/0!</v>
      </c>
      <c r="T64" s="792"/>
      <c r="U64" s="791" t="e">
        <f>100*S64/$W$41/I64/COMPLEMENTOS!B7</f>
        <v>#DIV/0!</v>
      </c>
      <c r="V64" s="792"/>
      <c r="W64" s="793" t="e">
        <f>S64/$W$41/COMPLEMENTOS!B7</f>
        <v>#DIV/0!</v>
      </c>
      <c r="X64" s="794"/>
      <c r="Y64" s="371"/>
      <c r="Z64" s="386">
        <f t="shared" si="6"/>
        <v>1</v>
      </c>
      <c r="AA64" s="380">
        <v>1</v>
      </c>
      <c r="AB64" s="380">
        <v>1</v>
      </c>
      <c r="AC64" s="379">
        <v>1</v>
      </c>
      <c r="AD64" s="379">
        <v>1</v>
      </c>
      <c r="AE64" s="379">
        <v>1</v>
      </c>
      <c r="AF64" s="379"/>
      <c r="AG64" s="380">
        <v>1</v>
      </c>
      <c r="AH64" s="380">
        <v>1</v>
      </c>
      <c r="AI64" s="380">
        <v>1</v>
      </c>
      <c r="AJ64" s="380">
        <v>1</v>
      </c>
      <c r="AL64" s="366"/>
    </row>
    <row r="65" spans="1:39" s="1" customFormat="1" ht="12.75" customHeight="1" x14ac:dyDescent="0.25">
      <c r="A65" s="369">
        <f t="shared" si="7"/>
        <v>5</v>
      </c>
      <c r="B65" s="406"/>
      <c r="C65" s="679" t="s">
        <v>7</v>
      </c>
      <c r="D65" s="783"/>
      <c r="E65" s="799"/>
      <c r="F65" s="800"/>
      <c r="G65" s="803">
        <f>CLIMA!F22</f>
        <v>21.7</v>
      </c>
      <c r="H65" s="804"/>
      <c r="I65" s="797">
        <f>VLOOKUP(Q$33,CLIMA!B$2:N$20,5)/3.6</f>
        <v>3.7234166666666662</v>
      </c>
      <c r="J65" s="798"/>
      <c r="K65" s="803">
        <f>CLIMA!F21</f>
        <v>17.899999999999999</v>
      </c>
      <c r="L65" s="804"/>
      <c r="M65" s="795">
        <f t="shared" si="4"/>
        <v>0</v>
      </c>
      <c r="N65" s="796"/>
      <c r="O65" s="795">
        <f>COMPLEMENTOS!C8+COMPLEMENTOS!D8+COMPLEMENTOS!E8</f>
        <v>9.9999999999999995E-7</v>
      </c>
      <c r="P65" s="796"/>
      <c r="Q65" s="795" t="e">
        <f>IF(COMPLEMENTOS!I8&gt;100,100,COMPLEMENTOS!I8)</f>
        <v>#DIV/0!</v>
      </c>
      <c r="R65" s="796"/>
      <c r="S65" s="795" t="e">
        <f t="shared" si="5"/>
        <v>#DIV/0!</v>
      </c>
      <c r="T65" s="796"/>
      <c r="U65" s="795" t="e">
        <f>100*S65/$W$41/I65/COMPLEMENTOS!B8</f>
        <v>#DIV/0!</v>
      </c>
      <c r="V65" s="796"/>
      <c r="W65" s="797" t="e">
        <f>S65/$W$41/COMPLEMENTOS!B8</f>
        <v>#DIV/0!</v>
      </c>
      <c r="X65" s="798"/>
      <c r="Y65" s="371"/>
      <c r="Z65" s="386">
        <f t="shared" si="6"/>
        <v>1</v>
      </c>
      <c r="AA65" s="380">
        <v>1</v>
      </c>
      <c r="AB65" s="380">
        <v>1</v>
      </c>
      <c r="AC65" s="379">
        <v>1</v>
      </c>
      <c r="AD65" s="379">
        <v>1</v>
      </c>
      <c r="AE65" s="379">
        <v>1</v>
      </c>
      <c r="AF65" s="379"/>
      <c r="AG65" s="380">
        <v>1</v>
      </c>
      <c r="AH65" s="380">
        <v>1</v>
      </c>
      <c r="AI65" s="380">
        <v>1</v>
      </c>
      <c r="AJ65" s="380">
        <v>1</v>
      </c>
      <c r="AL65" s="363" t="s">
        <v>120</v>
      </c>
    </row>
    <row r="66" spans="1:39" s="1" customFormat="1" ht="12.75" customHeight="1" x14ac:dyDescent="0.25">
      <c r="A66" s="369">
        <f t="shared" si="7"/>
        <v>6</v>
      </c>
      <c r="B66" s="406"/>
      <c r="C66" s="679" t="s">
        <v>8</v>
      </c>
      <c r="D66" s="783"/>
      <c r="E66" s="799"/>
      <c r="F66" s="800"/>
      <c r="G66" s="803">
        <f>CLIMA!G22</f>
        <v>16.600000000000001</v>
      </c>
      <c r="H66" s="804"/>
      <c r="I66" s="797">
        <f>VLOOKUP(Q$33,CLIMA!B$2:N$20,6)/3.6</f>
        <v>2.6095833333333336</v>
      </c>
      <c r="J66" s="798"/>
      <c r="K66" s="803">
        <f>CLIMA!G21</f>
        <v>14.8</v>
      </c>
      <c r="L66" s="804"/>
      <c r="M66" s="795">
        <f t="shared" si="4"/>
        <v>0</v>
      </c>
      <c r="N66" s="796"/>
      <c r="O66" s="795">
        <f>COMPLEMENTOS!C9+COMPLEMENTOS!D9+COMPLEMENTOS!E9</f>
        <v>9.9999999999999995E-7</v>
      </c>
      <c r="P66" s="796"/>
      <c r="Q66" s="795" t="e">
        <f>IF(COMPLEMENTOS!I9&gt;100,100,COMPLEMENTOS!I9)</f>
        <v>#DIV/0!</v>
      </c>
      <c r="R66" s="796"/>
      <c r="S66" s="795" t="e">
        <f t="shared" si="5"/>
        <v>#DIV/0!</v>
      </c>
      <c r="T66" s="796"/>
      <c r="U66" s="795" t="e">
        <f>100*S66/$W$41/I66/COMPLEMENTOS!B9</f>
        <v>#DIV/0!</v>
      </c>
      <c r="V66" s="796"/>
      <c r="W66" s="797" t="e">
        <f>S66/$W$41/COMPLEMENTOS!B9</f>
        <v>#DIV/0!</v>
      </c>
      <c r="X66" s="798"/>
      <c r="Y66" s="371"/>
      <c r="Z66" s="386">
        <f t="shared" si="6"/>
        <v>1</v>
      </c>
      <c r="AA66" s="380">
        <v>1</v>
      </c>
      <c r="AB66" s="380">
        <v>1</v>
      </c>
      <c r="AC66" s="379">
        <v>1</v>
      </c>
      <c r="AD66" s="379">
        <v>1</v>
      </c>
      <c r="AE66" s="379">
        <v>1</v>
      </c>
      <c r="AF66" s="379"/>
      <c r="AG66" s="380">
        <v>1</v>
      </c>
      <c r="AH66" s="380">
        <v>1</v>
      </c>
      <c r="AI66" s="380">
        <v>1</v>
      </c>
      <c r="AJ66" s="380">
        <v>1</v>
      </c>
      <c r="AL66" s="363" t="s">
        <v>119</v>
      </c>
    </row>
    <row r="67" spans="1:39" s="1" customFormat="1" ht="12.75" customHeight="1" x14ac:dyDescent="0.25">
      <c r="A67" s="369">
        <f t="shared" si="7"/>
        <v>7</v>
      </c>
      <c r="B67" s="406"/>
      <c r="C67" s="679" t="s">
        <v>9</v>
      </c>
      <c r="D67" s="783"/>
      <c r="E67" s="799"/>
      <c r="F67" s="800"/>
      <c r="G67" s="801">
        <f>CLIMA!H22</f>
        <v>12</v>
      </c>
      <c r="H67" s="802"/>
      <c r="I67" s="793">
        <f>VLOOKUP(Q$33,CLIMA!B$2:N$20,7)/3.6</f>
        <v>2.137111111111111</v>
      </c>
      <c r="J67" s="794"/>
      <c r="K67" s="801">
        <f>CLIMA!H21</f>
        <v>11.7</v>
      </c>
      <c r="L67" s="802"/>
      <c r="M67" s="791">
        <f t="shared" si="4"/>
        <v>0</v>
      </c>
      <c r="N67" s="792"/>
      <c r="O67" s="791">
        <f>COMPLEMENTOS!C10+COMPLEMENTOS!D10+COMPLEMENTOS!E10</f>
        <v>9.9999999999999995E-7</v>
      </c>
      <c r="P67" s="792"/>
      <c r="Q67" s="791" t="e">
        <f>IF(COMPLEMENTOS!I10&gt;100,100,COMPLEMENTOS!I10)</f>
        <v>#DIV/0!</v>
      </c>
      <c r="R67" s="792"/>
      <c r="S67" s="791" t="e">
        <f t="shared" si="5"/>
        <v>#DIV/0!</v>
      </c>
      <c r="T67" s="792"/>
      <c r="U67" s="791" t="e">
        <f>100*S67/$W$41/I67/COMPLEMENTOS!B10</f>
        <v>#DIV/0!</v>
      </c>
      <c r="V67" s="792"/>
      <c r="W67" s="793" t="e">
        <f>S67/$W$41/COMPLEMENTOS!B10</f>
        <v>#DIV/0!</v>
      </c>
      <c r="X67" s="794"/>
      <c r="Y67" s="371"/>
      <c r="Z67" s="386">
        <f t="shared" si="6"/>
        <v>1</v>
      </c>
      <c r="AA67" s="380">
        <v>1</v>
      </c>
      <c r="AB67" s="380">
        <v>1</v>
      </c>
      <c r="AC67" s="379">
        <v>1</v>
      </c>
      <c r="AD67" s="379">
        <v>1</v>
      </c>
      <c r="AE67" s="379">
        <v>1</v>
      </c>
      <c r="AF67" s="379"/>
      <c r="AG67" s="380">
        <v>1</v>
      </c>
      <c r="AH67" s="380">
        <v>1</v>
      </c>
      <c r="AI67" s="380">
        <v>1</v>
      </c>
      <c r="AJ67" s="380">
        <v>1</v>
      </c>
      <c r="AL67" s="391" t="s">
        <v>721</v>
      </c>
    </row>
    <row r="68" spans="1:39" s="1" customFormat="1" ht="12.75" customHeight="1" x14ac:dyDescent="0.25">
      <c r="A68" s="369">
        <f t="shared" si="7"/>
        <v>8</v>
      </c>
      <c r="B68" s="406"/>
      <c r="C68" s="679" t="s">
        <v>10</v>
      </c>
      <c r="D68" s="783"/>
      <c r="E68" s="799"/>
      <c r="F68" s="800"/>
      <c r="G68" s="803">
        <f>CLIMA!I22</f>
        <v>9.3000000000000007</v>
      </c>
      <c r="H68" s="804"/>
      <c r="I68" s="797">
        <f>VLOOKUP(Q$33,CLIMA!B$2:N$20,8)/3.6</f>
        <v>2.358916666666667</v>
      </c>
      <c r="J68" s="798"/>
      <c r="K68" s="803">
        <f>CLIMA!I21</f>
        <v>11.4</v>
      </c>
      <c r="L68" s="804"/>
      <c r="M68" s="795">
        <f t="shared" si="4"/>
        <v>0</v>
      </c>
      <c r="N68" s="796"/>
      <c r="O68" s="795">
        <f>COMPLEMENTOS!C11+COMPLEMENTOS!D11+COMPLEMENTOS!E11</f>
        <v>9.9999999999999995E-7</v>
      </c>
      <c r="P68" s="796"/>
      <c r="Q68" s="795" t="e">
        <f>IF(COMPLEMENTOS!I11&gt;100,100,COMPLEMENTOS!I11)</f>
        <v>#DIV/0!</v>
      </c>
      <c r="R68" s="796"/>
      <c r="S68" s="795" t="e">
        <f t="shared" si="5"/>
        <v>#DIV/0!</v>
      </c>
      <c r="T68" s="796"/>
      <c r="U68" s="795" t="e">
        <f>100*S68/$W$41/I68/COMPLEMENTOS!B11</f>
        <v>#DIV/0!</v>
      </c>
      <c r="V68" s="796"/>
      <c r="W68" s="797" t="e">
        <f>S68/$W$41/COMPLEMENTOS!B11</f>
        <v>#DIV/0!</v>
      </c>
      <c r="X68" s="798"/>
      <c r="Y68" s="371"/>
      <c r="Z68" s="386">
        <f t="shared" si="6"/>
        <v>1</v>
      </c>
      <c r="AA68" s="380">
        <v>1</v>
      </c>
      <c r="AB68" s="380">
        <v>1</v>
      </c>
      <c r="AC68" s="379">
        <v>1</v>
      </c>
      <c r="AD68" s="379">
        <v>1</v>
      </c>
      <c r="AE68" s="379">
        <v>1</v>
      </c>
      <c r="AF68" s="379"/>
      <c r="AG68" s="380">
        <v>1</v>
      </c>
      <c r="AH68" s="380">
        <v>1</v>
      </c>
      <c r="AI68" s="380">
        <v>1</v>
      </c>
      <c r="AJ68" s="380">
        <v>1</v>
      </c>
      <c r="AL68" s="391" t="s">
        <v>238</v>
      </c>
    </row>
    <row r="69" spans="1:39" s="1" customFormat="1" ht="12.75" customHeight="1" x14ac:dyDescent="0.25">
      <c r="A69" s="369">
        <f t="shared" si="7"/>
        <v>9</v>
      </c>
      <c r="B69" s="406"/>
      <c r="C69" s="679" t="s">
        <v>11</v>
      </c>
      <c r="D69" s="783"/>
      <c r="E69" s="799"/>
      <c r="F69" s="800"/>
      <c r="G69" s="803">
        <f>CLIMA!J22</f>
        <v>9.1999999999999993</v>
      </c>
      <c r="H69" s="804"/>
      <c r="I69" s="797">
        <f>VLOOKUP(Q$33,CLIMA!B$2:N$20,9)/3.6</f>
        <v>2.9954722222222219</v>
      </c>
      <c r="J69" s="798"/>
      <c r="K69" s="803">
        <f>CLIMA!J21</f>
        <v>12.2</v>
      </c>
      <c r="L69" s="804"/>
      <c r="M69" s="795">
        <f t="shared" si="4"/>
        <v>0</v>
      </c>
      <c r="N69" s="796"/>
      <c r="O69" s="795">
        <f>COMPLEMENTOS!C12+COMPLEMENTOS!D12+COMPLEMENTOS!E12</f>
        <v>9.9999999999999995E-7</v>
      </c>
      <c r="P69" s="796"/>
      <c r="Q69" s="795" t="e">
        <f>IF(COMPLEMENTOS!I12&gt;100,100,COMPLEMENTOS!I12)</f>
        <v>#DIV/0!</v>
      </c>
      <c r="R69" s="796"/>
      <c r="S69" s="795" t="e">
        <f t="shared" si="5"/>
        <v>#DIV/0!</v>
      </c>
      <c r="T69" s="796"/>
      <c r="U69" s="795" t="e">
        <f>100*S69/$W$41/I69/COMPLEMENTOS!B12</f>
        <v>#DIV/0!</v>
      </c>
      <c r="V69" s="796"/>
      <c r="W69" s="797" t="e">
        <f>S69/$W$41/COMPLEMENTOS!B12</f>
        <v>#DIV/0!</v>
      </c>
      <c r="X69" s="798"/>
      <c r="Y69" s="371"/>
      <c r="Z69" s="386">
        <f t="shared" si="6"/>
        <v>1</v>
      </c>
      <c r="AA69" s="380">
        <v>1</v>
      </c>
      <c r="AB69" s="380">
        <v>1</v>
      </c>
      <c r="AC69" s="379">
        <v>1</v>
      </c>
      <c r="AD69" s="379">
        <v>1</v>
      </c>
      <c r="AE69" s="379">
        <v>1</v>
      </c>
      <c r="AF69" s="379"/>
      <c r="AG69" s="380">
        <v>1</v>
      </c>
      <c r="AH69" s="380">
        <v>1</v>
      </c>
      <c r="AI69" s="380">
        <v>1</v>
      </c>
      <c r="AJ69" s="380">
        <v>1</v>
      </c>
      <c r="AL69" s="366"/>
    </row>
    <row r="70" spans="1:39" s="1" customFormat="1" ht="12.75" customHeight="1" x14ac:dyDescent="0.25">
      <c r="A70" s="369">
        <f t="shared" si="7"/>
        <v>10</v>
      </c>
      <c r="B70" s="406"/>
      <c r="C70" s="679" t="s">
        <v>12</v>
      </c>
      <c r="D70" s="783"/>
      <c r="E70" s="799"/>
      <c r="F70" s="800"/>
      <c r="G70" s="801">
        <f>CLIMA!K22</f>
        <v>11.7</v>
      </c>
      <c r="H70" s="802"/>
      <c r="I70" s="793">
        <f>VLOOKUP(Q$33,CLIMA!B$2:N$20,10)/3.6</f>
        <v>4.0670833333333336</v>
      </c>
      <c r="J70" s="794"/>
      <c r="K70" s="801">
        <f>CLIMA!K21</f>
        <v>14.1</v>
      </c>
      <c r="L70" s="802"/>
      <c r="M70" s="791">
        <f t="shared" si="4"/>
        <v>0</v>
      </c>
      <c r="N70" s="792"/>
      <c r="O70" s="791">
        <f>COMPLEMENTOS!C13+COMPLEMENTOS!D13+COMPLEMENTOS!E13</f>
        <v>9.9999999999999995E-7</v>
      </c>
      <c r="P70" s="792"/>
      <c r="Q70" s="791" t="e">
        <f>IF(COMPLEMENTOS!I13&gt;100,100,COMPLEMENTOS!I13)</f>
        <v>#DIV/0!</v>
      </c>
      <c r="R70" s="792"/>
      <c r="S70" s="791" t="e">
        <f t="shared" si="5"/>
        <v>#DIV/0!</v>
      </c>
      <c r="T70" s="792"/>
      <c r="U70" s="791" t="e">
        <f>100*S70/$W$41/I70/COMPLEMENTOS!B13</f>
        <v>#DIV/0!</v>
      </c>
      <c r="V70" s="792"/>
      <c r="W70" s="793" t="e">
        <f>S70/$W$41/COMPLEMENTOS!B13</f>
        <v>#DIV/0!</v>
      </c>
      <c r="X70" s="794"/>
      <c r="Y70" s="371"/>
      <c r="Z70" s="386">
        <f t="shared" si="6"/>
        <v>1</v>
      </c>
      <c r="AA70" s="380">
        <v>1</v>
      </c>
      <c r="AB70" s="380">
        <v>1</v>
      </c>
      <c r="AC70" s="379">
        <v>1</v>
      </c>
      <c r="AD70" s="379">
        <v>1</v>
      </c>
      <c r="AE70" s="379">
        <v>1</v>
      </c>
      <c r="AF70" s="379"/>
      <c r="AG70" s="380">
        <v>1</v>
      </c>
      <c r="AH70" s="380">
        <v>1</v>
      </c>
      <c r="AI70" s="380">
        <v>1</v>
      </c>
      <c r="AJ70" s="380">
        <v>1</v>
      </c>
      <c r="AL70" s="363" t="s">
        <v>70</v>
      </c>
    </row>
    <row r="71" spans="1:39" s="1" customFormat="1" ht="12.75" customHeight="1" x14ac:dyDescent="0.25">
      <c r="A71" s="369">
        <f t="shared" si="7"/>
        <v>11</v>
      </c>
      <c r="B71" s="406"/>
      <c r="C71" s="679" t="s">
        <v>13</v>
      </c>
      <c r="D71" s="783"/>
      <c r="E71" s="799"/>
      <c r="F71" s="800"/>
      <c r="G71" s="803">
        <f>CLIMA!L22</f>
        <v>16.100000000000001</v>
      </c>
      <c r="H71" s="804"/>
      <c r="I71" s="797">
        <f>VLOOKUP(Q$33,CLIMA!B$2:N$20,11)/3.6</f>
        <v>5.298</v>
      </c>
      <c r="J71" s="798"/>
      <c r="K71" s="803">
        <f>CLIMA!L21</f>
        <v>16.8</v>
      </c>
      <c r="L71" s="804"/>
      <c r="M71" s="795">
        <f t="shared" si="4"/>
        <v>0</v>
      </c>
      <c r="N71" s="796"/>
      <c r="O71" s="795">
        <f>COMPLEMENTOS!C14+COMPLEMENTOS!D14+COMPLEMENTOS!E14</f>
        <v>9.9999999999999995E-7</v>
      </c>
      <c r="P71" s="796"/>
      <c r="Q71" s="795" t="e">
        <f>IF(COMPLEMENTOS!I14&gt;100,100,COMPLEMENTOS!I14)</f>
        <v>#DIV/0!</v>
      </c>
      <c r="R71" s="796"/>
      <c r="S71" s="795" t="e">
        <f t="shared" si="5"/>
        <v>#DIV/0!</v>
      </c>
      <c r="T71" s="796"/>
      <c r="U71" s="795" t="e">
        <f>100*S71/$W$41/I71/COMPLEMENTOS!B14</f>
        <v>#DIV/0!</v>
      </c>
      <c r="V71" s="796"/>
      <c r="W71" s="797" t="e">
        <f>S71/$W$41/COMPLEMENTOS!B14</f>
        <v>#DIV/0!</v>
      </c>
      <c r="X71" s="798"/>
      <c r="Y71" s="371"/>
      <c r="Z71" s="386">
        <f t="shared" si="6"/>
        <v>1</v>
      </c>
      <c r="AA71" s="380">
        <v>1</v>
      </c>
      <c r="AB71" s="380">
        <v>1</v>
      </c>
      <c r="AC71" s="379">
        <v>1</v>
      </c>
      <c r="AD71" s="379">
        <v>1</v>
      </c>
      <c r="AE71" s="379">
        <v>1</v>
      </c>
      <c r="AF71" s="379"/>
      <c r="AG71" s="380">
        <v>1</v>
      </c>
      <c r="AH71" s="380">
        <v>1</v>
      </c>
      <c r="AI71" s="380">
        <v>1</v>
      </c>
      <c r="AJ71" s="380">
        <v>1</v>
      </c>
      <c r="AL71" s="363" t="s">
        <v>721</v>
      </c>
    </row>
    <row r="72" spans="1:39" s="1" customFormat="1" ht="12.75" customHeight="1" x14ac:dyDescent="0.25">
      <c r="A72" s="369">
        <f t="shared" si="7"/>
        <v>12</v>
      </c>
      <c r="B72" s="406"/>
      <c r="C72" s="679" t="s">
        <v>14</v>
      </c>
      <c r="D72" s="783"/>
      <c r="E72" s="799"/>
      <c r="F72" s="800"/>
      <c r="G72" s="803">
        <f>CLIMA!M22</f>
        <v>21.3</v>
      </c>
      <c r="H72" s="804"/>
      <c r="I72" s="797">
        <f>VLOOKUP(Q$33,CLIMA!B$2:N$20,12)/3.6</f>
        <v>6.5953888888888894</v>
      </c>
      <c r="J72" s="798"/>
      <c r="K72" s="803">
        <f>CLIMA!M21</f>
        <v>19.5</v>
      </c>
      <c r="L72" s="804"/>
      <c r="M72" s="795">
        <f t="shared" si="4"/>
        <v>0</v>
      </c>
      <c r="N72" s="796"/>
      <c r="O72" s="795">
        <f>COMPLEMENTOS!C15+COMPLEMENTOS!D15+COMPLEMENTOS!E15</f>
        <v>9.9999999999999995E-7</v>
      </c>
      <c r="P72" s="796"/>
      <c r="Q72" s="795" t="e">
        <f>IF(COMPLEMENTOS!I15&gt;100,100,COMPLEMENTOS!I15)</f>
        <v>#DIV/0!</v>
      </c>
      <c r="R72" s="796"/>
      <c r="S72" s="795" t="e">
        <f t="shared" si="5"/>
        <v>#DIV/0!</v>
      </c>
      <c r="T72" s="796"/>
      <c r="U72" s="795" t="e">
        <f>100*S72/$W$41/I72/COMPLEMENTOS!B15</f>
        <v>#DIV/0!</v>
      </c>
      <c r="V72" s="796"/>
      <c r="W72" s="797" t="e">
        <f>S72/$W$41/COMPLEMENTOS!B15</f>
        <v>#DIV/0!</v>
      </c>
      <c r="X72" s="798"/>
      <c r="Y72" s="371"/>
      <c r="Z72" s="386">
        <f t="shared" si="6"/>
        <v>1</v>
      </c>
      <c r="AA72" s="380">
        <v>1</v>
      </c>
      <c r="AB72" s="380">
        <v>1</v>
      </c>
      <c r="AC72" s="379">
        <v>1</v>
      </c>
      <c r="AD72" s="379">
        <v>1</v>
      </c>
      <c r="AE72" s="379">
        <v>1</v>
      </c>
      <c r="AF72" s="379"/>
      <c r="AG72" s="380">
        <v>1</v>
      </c>
      <c r="AH72" s="380">
        <v>1</v>
      </c>
      <c r="AI72" s="380">
        <v>1</v>
      </c>
      <c r="AJ72" s="380">
        <v>1</v>
      </c>
      <c r="AL72" s="391" t="s">
        <v>238</v>
      </c>
    </row>
    <row r="73" spans="1:39" s="1" customFormat="1" ht="12.75" customHeight="1" x14ac:dyDescent="0.25">
      <c r="A73" s="369">
        <f t="shared" si="7"/>
        <v>13</v>
      </c>
      <c r="B73" s="406"/>
      <c r="C73" s="679" t="s">
        <v>15</v>
      </c>
      <c r="D73" s="783"/>
      <c r="E73" s="799"/>
      <c r="F73" s="800"/>
      <c r="G73" s="801">
        <f>CLIMA!N22</f>
        <v>25.8</v>
      </c>
      <c r="H73" s="802"/>
      <c r="I73" s="793">
        <f>VLOOKUP(Q$33,CLIMA!B$2:N$20,13)/3.6</f>
        <v>7.2263611111111112</v>
      </c>
      <c r="J73" s="794"/>
      <c r="K73" s="801">
        <f>CLIMA!N21</f>
        <v>22.3</v>
      </c>
      <c r="L73" s="802"/>
      <c r="M73" s="791">
        <f t="shared" si="4"/>
        <v>0</v>
      </c>
      <c r="N73" s="792"/>
      <c r="O73" s="791">
        <f>COMPLEMENTOS!C16+COMPLEMENTOS!D16+COMPLEMENTOS!E16</f>
        <v>9.9999999999999995E-7</v>
      </c>
      <c r="P73" s="792"/>
      <c r="Q73" s="791" t="e">
        <f>IF(COMPLEMENTOS!I16&gt;100,100,COMPLEMENTOS!I16)</f>
        <v>#DIV/0!</v>
      </c>
      <c r="R73" s="792"/>
      <c r="S73" s="791" t="e">
        <f t="shared" si="5"/>
        <v>#DIV/0!</v>
      </c>
      <c r="T73" s="792"/>
      <c r="U73" s="791" t="e">
        <f>100*S73/$W$41/I73/COMPLEMENTOS!B16</f>
        <v>#DIV/0!</v>
      </c>
      <c r="V73" s="792"/>
      <c r="W73" s="793" t="e">
        <f>S73/$W$41/COMPLEMENTOS!B16</f>
        <v>#DIV/0!</v>
      </c>
      <c r="X73" s="794"/>
      <c r="Y73" s="371"/>
      <c r="Z73" s="386">
        <f t="shared" si="6"/>
        <v>1</v>
      </c>
      <c r="AA73" s="380">
        <v>1</v>
      </c>
      <c r="AB73" s="380">
        <v>1</v>
      </c>
      <c r="AC73" s="379">
        <v>1</v>
      </c>
      <c r="AD73" s="379">
        <v>1</v>
      </c>
      <c r="AE73" s="379">
        <v>1</v>
      </c>
      <c r="AF73" s="379"/>
      <c r="AG73" s="380">
        <v>1</v>
      </c>
      <c r="AH73" s="380">
        <v>1</v>
      </c>
      <c r="AI73" s="380">
        <v>1</v>
      </c>
      <c r="AJ73" s="380">
        <v>1</v>
      </c>
      <c r="AL73" s="391"/>
    </row>
    <row r="74" spans="1:39" s="7" customFormat="1" ht="3.95" customHeight="1" x14ac:dyDescent="0.25">
      <c r="A74" s="372"/>
      <c r="B74" s="372"/>
      <c r="C74" s="776"/>
      <c r="D74" s="776"/>
      <c r="E74" s="776"/>
      <c r="F74" s="776"/>
      <c r="G74" s="776"/>
      <c r="H74" s="776"/>
      <c r="I74" s="776"/>
      <c r="J74" s="776"/>
      <c r="K74" s="776"/>
      <c r="L74" s="776"/>
      <c r="M74" s="776"/>
      <c r="N74" s="776"/>
      <c r="O74" s="776"/>
      <c r="P74" s="776"/>
      <c r="Q74" s="776"/>
      <c r="R74" s="776"/>
      <c r="S74" s="776"/>
      <c r="T74" s="776"/>
      <c r="U74" s="776"/>
      <c r="V74" s="776"/>
      <c r="W74" s="776"/>
      <c r="X74" s="776"/>
      <c r="Y74" s="37"/>
      <c r="Z74" s="386"/>
      <c r="AA74" s="383"/>
      <c r="AB74" s="383"/>
      <c r="AC74" s="384"/>
      <c r="AD74" s="384"/>
      <c r="AE74" s="384"/>
      <c r="AF74" s="384"/>
      <c r="AG74" s="383"/>
      <c r="AH74" s="383"/>
      <c r="AI74" s="383"/>
      <c r="AJ74" s="383"/>
      <c r="AL74" s="366"/>
    </row>
    <row r="75" spans="1:39" s="1" customFormat="1" ht="12.75" customHeight="1" thickBot="1" x14ac:dyDescent="0.3">
      <c r="A75" s="369">
        <f>A73+1</f>
        <v>14</v>
      </c>
      <c r="B75" s="406"/>
      <c r="C75" s="679" t="s">
        <v>548</v>
      </c>
      <c r="D75" s="783"/>
      <c r="E75" s="784">
        <f>(E62*COMPLEMENTOS!$B5+E63*COMPLEMENTOS!$B6+E64*COMPLEMENTOS!$B7+E65*COMPLEMENTOS!$B8+E66*COMPLEMENTOS!$B9+E67*COMPLEMENTOS!$B10+E68*COMPLEMENTOS!$B11+E69*COMPLEMENTOS!$B12+E70*COMPLEMENTOS!$B13+E71*COMPLEMENTOS!$B14+E72*COMPLEMENTOS!$B15+E73*COMPLEMENTOS!$B16)/COMPLEMENTOS!$B19</f>
        <v>0</v>
      </c>
      <c r="F75" s="784"/>
      <c r="G75" s="785">
        <f>(G62*COMPLEMENTOS!$B5+G63*COMPLEMENTOS!$B6+G64*COMPLEMENTOS!$B7+G65*COMPLEMENTOS!$B8+G66*COMPLEMENTOS!$B9+G67*COMPLEMENTOS!$B10+G68*COMPLEMENTOS!$B11+G69*COMPLEMENTOS!$B12+G70*COMPLEMENTOS!$B13+G71*COMPLEMENTOS!$B14+G72*COMPLEMENTOS!$B15+G73*COMPLEMENTOS!$B16)/COMPLEMENTOS!$B19</f>
        <v>18.836986301369862</v>
      </c>
      <c r="H75" s="785"/>
      <c r="I75" s="779">
        <f>(I62*COMPLEMENTOS!$B5+I63*COMPLEMENTOS!$B6+I64*COMPLEMENTOS!$B7+I65*COMPLEMENTOS!$B8+I66*COMPLEMENTOS!$B9+I67*COMPLEMENTOS!$B10+I68*COMPLEMENTOS!$B11+I69*COMPLEMENTOS!$B12+I70*COMPLEMENTOS!$B13+I71*COMPLEMENTOS!$B14+I72*COMPLEMENTOS!$B15+I73*COMPLEMENTOS!$B16)/COMPLEMENTOS!$B19</f>
        <v>4.6057692541856916</v>
      </c>
      <c r="J75" s="779"/>
      <c r="K75" s="785">
        <f>(K62*COMPLEMENTOS!$B5+K63*COMPLEMENTOS!$B6+K64*COMPLEMENTOS!$B7+K65*COMPLEMENTOS!$B8+K66*COMPLEMENTOS!$B9+K67*COMPLEMENTOS!$B10+K68*COMPLEMENTOS!$B11+K69*COMPLEMENTOS!$B12+K70*COMPLEMENTOS!$B13+K71*COMPLEMENTOS!$B14+K72*COMPLEMENTOS!$B15+K73*COMPLEMENTOS!$B16)/COMPLEMENTOS!$B19</f>
        <v>17.346849315068493</v>
      </c>
      <c r="L75" s="785"/>
      <c r="M75" s="786">
        <f>(M62*COMPLEMENTOS!$B5+M63*COMPLEMENTOS!$B6+M64*COMPLEMENTOS!$B7+M65*COMPLEMENTOS!$B8+M66*COMPLEMENTOS!$B9+M67*COMPLEMENTOS!$B10+M68*COMPLEMENTOS!$B11+M69*COMPLEMENTOS!$B12+M70*COMPLEMENTOS!$B13+M71*COMPLEMENTOS!$B14+M72*COMPLEMENTOS!$B15+M73*COMPLEMENTOS!$B16)/COMPLEMENTOS!$B19</f>
        <v>0</v>
      </c>
      <c r="N75" s="786"/>
      <c r="O75" s="710"/>
      <c r="P75" s="721"/>
      <c r="Q75" s="721"/>
      <c r="R75" s="721"/>
      <c r="S75" s="721"/>
      <c r="T75" s="721"/>
      <c r="U75" s="721"/>
      <c r="V75" s="711"/>
      <c r="W75" s="779" t="e">
        <f>(W62*COMPLEMENTOS!$B5+W63*COMPLEMENTOS!$B6+W64*COMPLEMENTOS!$B7+W65*COMPLEMENTOS!$B8+W66*COMPLEMENTOS!$B9+W67*COMPLEMENTOS!$B10+W68*COMPLEMENTOS!$B11+W69*COMPLEMENTOS!$B12+W70*COMPLEMENTOS!$B13+W71*COMPLEMENTOS!$B14+W72*COMPLEMENTOS!$B15+W73*COMPLEMENTOS!$B16)/COMPLEMENTOS!$B19</f>
        <v>#DIV/0!</v>
      </c>
      <c r="X75" s="779"/>
      <c r="Y75" s="371"/>
      <c r="Z75" s="386">
        <f>IF(Z$3=0,0,IF(Z$3=1,AA75,IF(Z$3=2,AB75,IF(Z$3=3,AC75,IF(Z$3=4,AD75,IF(Z$3=5,AE75,IF(Z$3=6,AG75,IF(Z$3=7,AH75,IF(Z$3=8,AI75,IF(Z$3=9,AJ75,0))))))))))</f>
        <v>1</v>
      </c>
      <c r="AA75" s="380">
        <v>1</v>
      </c>
      <c r="AB75" s="380">
        <v>1</v>
      </c>
      <c r="AC75" s="379">
        <v>1</v>
      </c>
      <c r="AD75" s="379">
        <v>1</v>
      </c>
      <c r="AE75" s="379">
        <v>1</v>
      </c>
      <c r="AF75" s="379"/>
      <c r="AG75" s="380">
        <v>1</v>
      </c>
      <c r="AH75" s="380">
        <v>1</v>
      </c>
      <c r="AI75" s="380">
        <v>1</v>
      </c>
      <c r="AJ75" s="380">
        <v>1</v>
      </c>
      <c r="AL75" s="363" t="s">
        <v>63</v>
      </c>
    </row>
    <row r="76" spans="1:39" s="1" customFormat="1" ht="12.75" customHeight="1" thickBot="1" x14ac:dyDescent="0.3">
      <c r="A76" s="369">
        <f>A75+1</f>
        <v>15</v>
      </c>
      <c r="B76" s="406"/>
      <c r="C76" s="679" t="s">
        <v>560</v>
      </c>
      <c r="D76" s="776"/>
      <c r="E76" s="789"/>
      <c r="F76" s="789"/>
      <c r="G76" s="789"/>
      <c r="H76" s="790"/>
      <c r="I76" s="774">
        <f>I75*COMPLEMENTOS!B19</f>
        <v>1681.1057777777773</v>
      </c>
      <c r="J76" s="775"/>
      <c r="K76" s="780"/>
      <c r="L76" s="781"/>
      <c r="M76" s="774">
        <f>M75*COMPLEMENTOS!B19/1000</f>
        <v>0</v>
      </c>
      <c r="N76" s="775"/>
      <c r="O76" s="787">
        <f>SUM(O62:O73)</f>
        <v>1.2000000000000002E-5</v>
      </c>
      <c r="P76" s="788"/>
      <c r="Q76" s="774" t="e">
        <f>S76/O76*100</f>
        <v>#DIV/0!</v>
      </c>
      <c r="R76" s="775"/>
      <c r="S76" s="787" t="e">
        <f>SUM(S62:S73)</f>
        <v>#DIV/0!</v>
      </c>
      <c r="T76" s="788"/>
      <c r="U76" s="772" t="e">
        <f>W76/I76*100</f>
        <v>#DIV/0!</v>
      </c>
      <c r="V76" s="773"/>
      <c r="W76" s="774" t="e">
        <f>S76/W41</f>
        <v>#DIV/0!</v>
      </c>
      <c r="X76" s="775"/>
      <c r="Y76" s="371"/>
      <c r="Z76" s="386">
        <f>IF(Z$3=0,0,IF(Z$3=1,AA76,IF(Z$3=2,AB76,IF(Z$3=3,AC76,IF(Z$3=4,AD76,IF(Z$3=5,AE76,IF(Z$3=6,AG76,IF(Z$3=7,AH76,IF(Z$3=8,AI76,IF(Z$3=9,AJ76,0))))))))))</f>
        <v>1</v>
      </c>
      <c r="AA76" s="380">
        <v>1</v>
      </c>
      <c r="AB76" s="380">
        <v>1</v>
      </c>
      <c r="AC76" s="379">
        <v>1</v>
      </c>
      <c r="AD76" s="379">
        <v>1</v>
      </c>
      <c r="AE76" s="379">
        <v>1</v>
      </c>
      <c r="AF76" s="379"/>
      <c r="AG76" s="380">
        <v>1</v>
      </c>
      <c r="AH76" s="380">
        <v>1</v>
      </c>
      <c r="AI76" s="380">
        <v>1</v>
      </c>
      <c r="AJ76" s="380">
        <v>1</v>
      </c>
      <c r="AL76" s="363" t="s">
        <v>80</v>
      </c>
    </row>
    <row r="77" spans="1:39" s="1" customFormat="1" ht="12.75" customHeight="1" x14ac:dyDescent="0.25">
      <c r="A77" s="369"/>
      <c r="B77" s="369"/>
      <c r="C77" s="679"/>
      <c r="D77" s="679"/>
      <c r="E77" s="679"/>
      <c r="F77" s="679"/>
      <c r="G77" s="679"/>
      <c r="H77" s="679"/>
      <c r="I77" s="679" t="s">
        <v>29</v>
      </c>
      <c r="J77" s="679"/>
      <c r="K77" s="776"/>
      <c r="L77" s="776"/>
      <c r="M77" s="771" t="s">
        <v>27</v>
      </c>
      <c r="N77" s="771"/>
      <c r="O77" s="771" t="s">
        <v>28</v>
      </c>
      <c r="P77" s="771"/>
      <c r="Q77" s="771" t="s">
        <v>26</v>
      </c>
      <c r="R77" s="771"/>
      <c r="S77" s="771" t="s">
        <v>28</v>
      </c>
      <c r="T77" s="771"/>
      <c r="U77" s="771" t="s">
        <v>26</v>
      </c>
      <c r="V77" s="771"/>
      <c r="W77" s="771" t="s">
        <v>29</v>
      </c>
      <c r="X77" s="771"/>
      <c r="Y77" s="371"/>
      <c r="Z77" s="386" t="s">
        <v>2</v>
      </c>
      <c r="AA77" s="380" t="s">
        <v>2</v>
      </c>
      <c r="AB77" s="380" t="s">
        <v>2</v>
      </c>
      <c r="AC77" s="379" t="s">
        <v>2</v>
      </c>
      <c r="AD77" s="379" t="s">
        <v>2</v>
      </c>
      <c r="AE77" s="379" t="s">
        <v>2</v>
      </c>
      <c r="AF77" s="379"/>
      <c r="AG77" s="380" t="s">
        <v>2</v>
      </c>
      <c r="AH77" s="380" t="s">
        <v>2</v>
      </c>
      <c r="AI77" s="380" t="s">
        <v>2</v>
      </c>
      <c r="AJ77" s="380" t="s">
        <v>2</v>
      </c>
      <c r="AL77" s="391" t="s">
        <v>721</v>
      </c>
    </row>
    <row r="78" spans="1:39" s="1" customFormat="1" ht="12.75" customHeight="1" x14ac:dyDescent="0.25">
      <c r="A78" s="369"/>
      <c r="B78" s="374"/>
      <c r="C78" s="357"/>
      <c r="D78" s="357"/>
      <c r="E78" s="357"/>
      <c r="F78" s="357"/>
      <c r="G78" s="357"/>
      <c r="H78" s="357"/>
      <c r="I78" s="357"/>
      <c r="J78" s="357"/>
      <c r="K78" s="357"/>
      <c r="L78" s="357"/>
      <c r="M78" s="357"/>
      <c r="N78" s="357"/>
      <c r="O78" s="357"/>
      <c r="P78" s="357"/>
      <c r="Q78" s="357"/>
      <c r="R78" s="357"/>
      <c r="S78" s="357"/>
      <c r="T78" s="357"/>
      <c r="U78" s="357"/>
      <c r="V78" s="357"/>
      <c r="W78" s="357"/>
      <c r="X78" s="357"/>
      <c r="Y78" s="371"/>
      <c r="Z78" s="386" t="s">
        <v>2</v>
      </c>
      <c r="AA78" s="380" t="s">
        <v>2</v>
      </c>
      <c r="AB78" s="380" t="s">
        <v>2</v>
      </c>
      <c r="AC78" s="379" t="s">
        <v>2</v>
      </c>
      <c r="AD78" s="379" t="s">
        <v>2</v>
      </c>
      <c r="AE78" s="379" t="s">
        <v>2</v>
      </c>
      <c r="AF78" s="379"/>
      <c r="AG78" s="380" t="s">
        <v>2</v>
      </c>
      <c r="AH78" s="380" t="s">
        <v>2</v>
      </c>
      <c r="AI78" s="380" t="s">
        <v>2</v>
      </c>
      <c r="AJ78" s="380" t="s">
        <v>2</v>
      </c>
      <c r="AL78" s="391" t="s">
        <v>238</v>
      </c>
    </row>
    <row r="79" spans="1:39" s="543" customFormat="1" ht="12.75" customHeight="1" x14ac:dyDescent="0.25">
      <c r="A79" s="556"/>
      <c r="B79" s="541" t="s">
        <v>699</v>
      </c>
      <c r="C79" s="637" t="s">
        <v>123</v>
      </c>
      <c r="D79" s="637"/>
      <c r="E79" s="637"/>
      <c r="F79" s="637"/>
      <c r="G79" s="637"/>
      <c r="H79" s="637"/>
      <c r="I79" s="637"/>
      <c r="J79" s="637"/>
      <c r="K79" s="637"/>
      <c r="L79" s="637"/>
      <c r="M79" s="637"/>
      <c r="N79" s="637"/>
      <c r="O79" s="637"/>
      <c r="P79" s="637"/>
      <c r="Q79" s="637"/>
      <c r="R79" s="637"/>
      <c r="S79" s="637"/>
      <c r="T79" s="637"/>
      <c r="U79" s="637"/>
      <c r="V79" s="637"/>
      <c r="W79" s="637"/>
      <c r="X79" s="637"/>
      <c r="Y79" s="545"/>
      <c r="Z79" s="546" t="s">
        <v>2</v>
      </c>
      <c r="AA79" s="547" t="s">
        <v>2</v>
      </c>
      <c r="AB79" s="547" t="s">
        <v>2</v>
      </c>
      <c r="AC79" s="548" t="s">
        <v>2</v>
      </c>
      <c r="AD79" s="548" t="s">
        <v>2</v>
      </c>
      <c r="AE79" s="548" t="s">
        <v>2</v>
      </c>
      <c r="AF79" s="548"/>
      <c r="AG79" s="547" t="s">
        <v>2</v>
      </c>
      <c r="AH79" s="547" t="s">
        <v>2</v>
      </c>
      <c r="AI79" s="547" t="s">
        <v>2</v>
      </c>
      <c r="AJ79" s="547" t="s">
        <v>2</v>
      </c>
      <c r="AL79" s="559"/>
      <c r="AM79" s="549"/>
    </row>
    <row r="80" spans="1:39" s="46" customFormat="1" ht="12.75" customHeight="1" x14ac:dyDescent="0.25">
      <c r="A80" s="43"/>
      <c r="B80" s="347"/>
      <c r="C80" s="364"/>
      <c r="D80" s="364"/>
      <c r="E80" s="364"/>
      <c r="F80" s="364"/>
      <c r="G80" s="364"/>
      <c r="H80" s="364"/>
      <c r="I80" s="364"/>
      <c r="J80" s="364"/>
      <c r="K80" s="364"/>
      <c r="L80" s="364"/>
      <c r="M80" s="364"/>
      <c r="N80" s="364"/>
      <c r="O80" s="364"/>
      <c r="P80" s="364"/>
      <c r="Q80" s="729" t="s">
        <v>747</v>
      </c>
      <c r="R80" s="729"/>
      <c r="S80" s="729"/>
      <c r="T80" s="729"/>
      <c r="U80" s="729"/>
      <c r="V80" s="729"/>
      <c r="W80" s="729"/>
      <c r="X80" s="729"/>
      <c r="Y80" s="45"/>
      <c r="Z80" s="386" t="s">
        <v>2</v>
      </c>
      <c r="AA80" s="380" t="s">
        <v>2</v>
      </c>
      <c r="AB80" s="380" t="s">
        <v>2</v>
      </c>
      <c r="AC80" s="379" t="s">
        <v>2</v>
      </c>
      <c r="AD80" s="379" t="s">
        <v>2</v>
      </c>
      <c r="AE80" s="379" t="s">
        <v>2</v>
      </c>
      <c r="AF80" s="379"/>
      <c r="AG80" s="380" t="s">
        <v>2</v>
      </c>
      <c r="AH80" s="380" t="s">
        <v>2</v>
      </c>
      <c r="AI80" s="380" t="s">
        <v>2</v>
      </c>
      <c r="AJ80" s="380" t="s">
        <v>2</v>
      </c>
      <c r="AL80" s="363" t="s">
        <v>65</v>
      </c>
      <c r="AM80" s="1"/>
    </row>
    <row r="81" spans="1:39" s="1" customFormat="1" ht="12.75" customHeight="1" x14ac:dyDescent="0.25">
      <c r="A81" s="369">
        <v>1</v>
      </c>
      <c r="B81" s="402"/>
      <c r="C81" s="578" t="s">
        <v>144</v>
      </c>
      <c r="D81" s="578"/>
      <c r="E81" s="578"/>
      <c r="F81" s="578"/>
      <c r="G81" s="578"/>
      <c r="H81" s="578"/>
      <c r="I81" s="578"/>
      <c r="J81" s="578"/>
      <c r="K81" s="578"/>
      <c r="L81" s="579"/>
      <c r="M81" s="782" t="s">
        <v>238</v>
      </c>
      <c r="N81" s="782"/>
      <c r="O81" s="782"/>
      <c r="P81" s="782"/>
      <c r="Q81" s="624"/>
      <c r="R81" s="624"/>
      <c r="S81" s="624"/>
      <c r="T81" s="624"/>
      <c r="U81" s="624"/>
      <c r="V81" s="624"/>
      <c r="W81" s="624"/>
      <c r="X81" s="624"/>
      <c r="Y81" s="371"/>
      <c r="Z81" s="386">
        <f t="shared" ref="Z81:Z94" si="8">IF(Z$3=0,0,IF(Z$3=1,AA81,IF(Z$3=2,AB81,IF(Z$3=3,AC81,IF(Z$3=4,AD81,IF(Z$3=5,AE81,IF(Z$3=6,AG81,IF(Z$3=7,AH81,IF(Z$3=8,AI81,IF(Z$3=9,AJ81,0))))))))))</f>
        <v>1</v>
      </c>
      <c r="AA81" s="380">
        <v>0</v>
      </c>
      <c r="AB81" s="380">
        <v>1</v>
      </c>
      <c r="AC81" s="379">
        <v>1</v>
      </c>
      <c r="AD81" s="379">
        <v>1</v>
      </c>
      <c r="AE81" s="379">
        <v>1</v>
      </c>
      <c r="AF81" s="379"/>
      <c r="AG81" s="380">
        <v>1</v>
      </c>
      <c r="AH81" s="380">
        <v>1</v>
      </c>
      <c r="AI81" s="380">
        <v>1</v>
      </c>
      <c r="AJ81" s="380">
        <v>1</v>
      </c>
      <c r="AL81" s="363" t="s">
        <v>66</v>
      </c>
    </row>
    <row r="82" spans="1:39" s="1" customFormat="1" ht="12.75" customHeight="1" x14ac:dyDescent="0.25">
      <c r="A82" s="369">
        <f>A81+1</f>
        <v>2</v>
      </c>
      <c r="B82" s="402"/>
      <c r="C82" s="578" t="s">
        <v>344</v>
      </c>
      <c r="D82" s="578"/>
      <c r="E82" s="578"/>
      <c r="F82" s="578"/>
      <c r="G82" s="578"/>
      <c r="H82" s="578"/>
      <c r="I82" s="578"/>
      <c r="J82" s="578"/>
      <c r="K82" s="578"/>
      <c r="L82" s="579"/>
      <c r="M82" s="782" t="s">
        <v>238</v>
      </c>
      <c r="N82" s="782"/>
      <c r="O82" s="782"/>
      <c r="P82" s="782"/>
      <c r="Q82" s="624"/>
      <c r="R82" s="624"/>
      <c r="S82" s="624"/>
      <c r="T82" s="624"/>
      <c r="U82" s="624"/>
      <c r="V82" s="624"/>
      <c r="W82" s="624"/>
      <c r="X82" s="624"/>
      <c r="Y82" s="371"/>
      <c r="Z82" s="386">
        <f t="shared" si="8"/>
        <v>1</v>
      </c>
      <c r="AA82" s="380">
        <v>0</v>
      </c>
      <c r="AB82" s="380">
        <v>1</v>
      </c>
      <c r="AC82" s="379">
        <v>1</v>
      </c>
      <c r="AD82" s="379">
        <v>1</v>
      </c>
      <c r="AE82" s="379">
        <v>1</v>
      </c>
      <c r="AF82" s="379"/>
      <c r="AG82" s="380">
        <v>0</v>
      </c>
      <c r="AH82" s="380">
        <v>0</v>
      </c>
      <c r="AI82" s="380">
        <v>0</v>
      </c>
      <c r="AJ82" s="380">
        <v>0</v>
      </c>
      <c r="AL82" s="363" t="s">
        <v>184</v>
      </c>
    </row>
    <row r="83" spans="1:39" s="1" customFormat="1" ht="12.75" customHeight="1" x14ac:dyDescent="0.25">
      <c r="A83" s="369">
        <f t="shared" ref="A83:A94" si="9">A82+1</f>
        <v>3</v>
      </c>
      <c r="B83" s="402"/>
      <c r="C83" s="578" t="s">
        <v>345</v>
      </c>
      <c r="D83" s="578"/>
      <c r="E83" s="578"/>
      <c r="F83" s="578"/>
      <c r="G83" s="578"/>
      <c r="H83" s="578"/>
      <c r="I83" s="578"/>
      <c r="J83" s="578"/>
      <c r="K83" s="578"/>
      <c r="L83" s="579"/>
      <c r="M83" s="782" t="s">
        <v>238</v>
      </c>
      <c r="N83" s="782"/>
      <c r="O83" s="782"/>
      <c r="P83" s="782"/>
      <c r="Q83" s="624"/>
      <c r="R83" s="624"/>
      <c r="S83" s="624"/>
      <c r="T83" s="624"/>
      <c r="U83" s="624"/>
      <c r="V83" s="624"/>
      <c r="W83" s="624"/>
      <c r="X83" s="624"/>
      <c r="Y83" s="371"/>
      <c r="Z83" s="386">
        <f t="shared" si="8"/>
        <v>1</v>
      </c>
      <c r="AA83" s="380">
        <v>0</v>
      </c>
      <c r="AB83" s="380">
        <v>1</v>
      </c>
      <c r="AC83" s="379">
        <v>1</v>
      </c>
      <c r="AD83" s="379">
        <v>1</v>
      </c>
      <c r="AE83" s="379">
        <v>1</v>
      </c>
      <c r="AF83" s="379"/>
      <c r="AG83" s="380">
        <v>0</v>
      </c>
      <c r="AH83" s="380">
        <v>0</v>
      </c>
      <c r="AI83" s="380">
        <v>0</v>
      </c>
      <c r="AJ83" s="380">
        <v>0</v>
      </c>
      <c r="AL83" s="391" t="s">
        <v>721</v>
      </c>
    </row>
    <row r="84" spans="1:39" s="1" customFormat="1" ht="12.75" customHeight="1" x14ac:dyDescent="0.25">
      <c r="A84" s="369">
        <f t="shared" si="9"/>
        <v>4</v>
      </c>
      <c r="B84" s="402"/>
      <c r="C84" s="578" t="s">
        <v>459</v>
      </c>
      <c r="D84" s="578"/>
      <c r="E84" s="578"/>
      <c r="F84" s="578"/>
      <c r="G84" s="578"/>
      <c r="H84" s="578"/>
      <c r="I84" s="578"/>
      <c r="J84" s="578"/>
      <c r="K84" s="578"/>
      <c r="L84" s="579"/>
      <c r="M84" s="782" t="s">
        <v>238</v>
      </c>
      <c r="N84" s="782"/>
      <c r="O84" s="782"/>
      <c r="P84" s="782"/>
      <c r="Q84" s="624"/>
      <c r="R84" s="624"/>
      <c r="S84" s="624"/>
      <c r="T84" s="624"/>
      <c r="U84" s="624"/>
      <c r="V84" s="624"/>
      <c r="W84" s="624"/>
      <c r="X84" s="624"/>
      <c r="Y84" s="371"/>
      <c r="Z84" s="386">
        <f t="shared" si="8"/>
        <v>1</v>
      </c>
      <c r="AA84" s="380">
        <v>0</v>
      </c>
      <c r="AB84" s="380">
        <v>1</v>
      </c>
      <c r="AC84" s="379">
        <v>1</v>
      </c>
      <c r="AD84" s="379">
        <v>1</v>
      </c>
      <c r="AE84" s="379">
        <v>1</v>
      </c>
      <c r="AF84" s="379"/>
      <c r="AG84" s="380">
        <v>0</v>
      </c>
      <c r="AH84" s="380">
        <v>0</v>
      </c>
      <c r="AI84" s="380">
        <v>0</v>
      </c>
      <c r="AJ84" s="380">
        <v>0</v>
      </c>
      <c r="AL84" s="391" t="s">
        <v>238</v>
      </c>
    </row>
    <row r="85" spans="1:39" s="1" customFormat="1" ht="12.75" customHeight="1" x14ac:dyDescent="0.25">
      <c r="A85" s="369">
        <f t="shared" si="9"/>
        <v>5</v>
      </c>
      <c r="B85" s="402"/>
      <c r="C85" s="578" t="s">
        <v>77</v>
      </c>
      <c r="D85" s="578"/>
      <c r="E85" s="578"/>
      <c r="F85" s="578"/>
      <c r="G85" s="578"/>
      <c r="H85" s="578"/>
      <c r="I85" s="578"/>
      <c r="J85" s="578"/>
      <c r="K85" s="578"/>
      <c r="L85" s="579"/>
      <c r="M85" s="782" t="s">
        <v>238</v>
      </c>
      <c r="N85" s="782"/>
      <c r="O85" s="782"/>
      <c r="P85" s="782"/>
      <c r="Q85" s="624"/>
      <c r="R85" s="624"/>
      <c r="S85" s="624"/>
      <c r="T85" s="624"/>
      <c r="U85" s="624"/>
      <c r="V85" s="624"/>
      <c r="W85" s="624"/>
      <c r="X85" s="624"/>
      <c r="Y85" s="371"/>
      <c r="Z85" s="386">
        <f t="shared" si="8"/>
        <v>1</v>
      </c>
      <c r="AA85" s="380">
        <v>0</v>
      </c>
      <c r="AB85" s="380">
        <v>1</v>
      </c>
      <c r="AC85" s="379">
        <v>1</v>
      </c>
      <c r="AD85" s="379">
        <v>1</v>
      </c>
      <c r="AE85" s="379">
        <v>1</v>
      </c>
      <c r="AF85" s="379"/>
      <c r="AG85" s="380">
        <v>0</v>
      </c>
      <c r="AH85" s="380">
        <v>0</v>
      </c>
      <c r="AI85" s="380">
        <v>0</v>
      </c>
      <c r="AJ85" s="380">
        <v>0</v>
      </c>
      <c r="AL85" s="390"/>
    </row>
    <row r="86" spans="1:39" s="1" customFormat="1" ht="12.75" customHeight="1" x14ac:dyDescent="0.25">
      <c r="A86" s="369">
        <f t="shared" si="9"/>
        <v>6</v>
      </c>
      <c r="B86" s="402"/>
      <c r="C86" s="578" t="s">
        <v>346</v>
      </c>
      <c r="D86" s="578"/>
      <c r="E86" s="578"/>
      <c r="F86" s="578"/>
      <c r="G86" s="578"/>
      <c r="H86" s="578"/>
      <c r="I86" s="578"/>
      <c r="J86" s="578"/>
      <c r="K86" s="578"/>
      <c r="L86" s="579"/>
      <c r="M86" s="782" t="s">
        <v>238</v>
      </c>
      <c r="N86" s="782"/>
      <c r="O86" s="782"/>
      <c r="P86" s="782"/>
      <c r="Q86" s="624"/>
      <c r="R86" s="624"/>
      <c r="S86" s="624"/>
      <c r="T86" s="624"/>
      <c r="U86" s="624"/>
      <c r="V86" s="624"/>
      <c r="W86" s="624"/>
      <c r="X86" s="624"/>
      <c r="Y86" s="371"/>
      <c r="Z86" s="386">
        <f t="shared" si="8"/>
        <v>1</v>
      </c>
      <c r="AA86" s="380">
        <v>0</v>
      </c>
      <c r="AB86" s="380">
        <v>1</v>
      </c>
      <c r="AC86" s="379">
        <v>1</v>
      </c>
      <c r="AD86" s="379">
        <v>1</v>
      </c>
      <c r="AE86" s="379">
        <v>1</v>
      </c>
      <c r="AF86" s="379"/>
      <c r="AG86" s="380">
        <v>0</v>
      </c>
      <c r="AH86" s="380">
        <v>0</v>
      </c>
      <c r="AI86" s="380">
        <v>0</v>
      </c>
      <c r="AJ86" s="380">
        <v>0</v>
      </c>
      <c r="AL86" s="363" t="s">
        <v>76</v>
      </c>
    </row>
    <row r="87" spans="1:39" s="1" customFormat="1" ht="12.75" customHeight="1" x14ac:dyDescent="0.25">
      <c r="A87" s="369">
        <f t="shared" si="9"/>
        <v>7</v>
      </c>
      <c r="B87" s="402"/>
      <c r="C87" s="578" t="s">
        <v>16</v>
      </c>
      <c r="D87" s="578"/>
      <c r="E87" s="578"/>
      <c r="F87" s="578"/>
      <c r="G87" s="578"/>
      <c r="H87" s="578"/>
      <c r="I87" s="578"/>
      <c r="J87" s="578"/>
      <c r="K87" s="578"/>
      <c r="L87" s="579"/>
      <c r="M87" s="782" t="s">
        <v>238</v>
      </c>
      <c r="N87" s="782"/>
      <c r="O87" s="782"/>
      <c r="P87" s="782"/>
      <c r="Q87" s="624"/>
      <c r="R87" s="624"/>
      <c r="S87" s="624"/>
      <c r="T87" s="624"/>
      <c r="U87" s="624"/>
      <c r="V87" s="624"/>
      <c r="W87" s="624"/>
      <c r="X87" s="624"/>
      <c r="Y87" s="371"/>
      <c r="Z87" s="386">
        <f t="shared" si="8"/>
        <v>1</v>
      </c>
      <c r="AA87" s="380">
        <v>0</v>
      </c>
      <c r="AB87" s="380">
        <v>1</v>
      </c>
      <c r="AC87" s="379">
        <v>1</v>
      </c>
      <c r="AD87" s="379">
        <v>1</v>
      </c>
      <c r="AE87" s="379">
        <v>1</v>
      </c>
      <c r="AF87" s="379"/>
      <c r="AG87" s="380">
        <v>0</v>
      </c>
      <c r="AH87" s="380">
        <v>0</v>
      </c>
      <c r="AI87" s="380">
        <v>0</v>
      </c>
      <c r="AJ87" s="380">
        <v>0</v>
      </c>
      <c r="AL87" s="363" t="s">
        <v>742</v>
      </c>
    </row>
    <row r="88" spans="1:39" s="1" customFormat="1" ht="12.75" customHeight="1" x14ac:dyDescent="0.25">
      <c r="A88" s="369">
        <f t="shared" si="9"/>
        <v>8</v>
      </c>
      <c r="B88" s="402"/>
      <c r="C88" s="612" t="s">
        <v>401</v>
      </c>
      <c r="D88" s="755"/>
      <c r="E88" s="755"/>
      <c r="F88" s="755"/>
      <c r="G88" s="755"/>
      <c r="H88" s="755"/>
      <c r="I88" s="755"/>
      <c r="J88" s="755"/>
      <c r="K88" s="755"/>
      <c r="L88" s="756"/>
      <c r="M88" s="575"/>
      <c r="N88" s="576"/>
      <c r="O88" s="576"/>
      <c r="P88" s="576"/>
      <c r="Q88" s="769"/>
      <c r="R88" s="769"/>
      <c r="S88" s="769"/>
      <c r="T88" s="770"/>
      <c r="U88" s="710"/>
      <c r="V88" s="721"/>
      <c r="W88" s="721"/>
      <c r="X88" s="721"/>
      <c r="Y88" s="371"/>
      <c r="Z88" s="386">
        <f t="shared" si="8"/>
        <v>0</v>
      </c>
      <c r="AA88" s="380">
        <v>0</v>
      </c>
      <c r="AB88" s="380">
        <v>0</v>
      </c>
      <c r="AC88" s="380">
        <v>0</v>
      </c>
      <c r="AD88" s="380">
        <v>0</v>
      </c>
      <c r="AE88" s="380">
        <v>0</v>
      </c>
      <c r="AF88" s="379"/>
      <c r="AG88" s="380">
        <v>1</v>
      </c>
      <c r="AH88" s="380">
        <v>1</v>
      </c>
      <c r="AI88" s="380">
        <v>1</v>
      </c>
      <c r="AJ88" s="380">
        <v>1</v>
      </c>
      <c r="AL88" s="391" t="s">
        <v>721</v>
      </c>
    </row>
    <row r="89" spans="1:39" s="1" customFormat="1" ht="12.75" customHeight="1" x14ac:dyDescent="0.25">
      <c r="A89" s="369">
        <f t="shared" si="9"/>
        <v>9</v>
      </c>
      <c r="B89" s="402"/>
      <c r="C89" s="612" t="s">
        <v>280</v>
      </c>
      <c r="D89" s="755"/>
      <c r="E89" s="755"/>
      <c r="F89" s="755"/>
      <c r="G89" s="755"/>
      <c r="H89" s="755"/>
      <c r="I89" s="755"/>
      <c r="J89" s="755"/>
      <c r="K89" s="755"/>
      <c r="L89" s="756"/>
      <c r="M89" s="757"/>
      <c r="N89" s="758"/>
      <c r="O89" s="758"/>
      <c r="P89" s="758"/>
      <c r="Q89" s="758"/>
      <c r="R89" s="758"/>
      <c r="S89" s="758"/>
      <c r="T89" s="759"/>
      <c r="U89" s="710"/>
      <c r="V89" s="721"/>
      <c r="W89" s="721"/>
      <c r="X89" s="721"/>
      <c r="Y89" s="371"/>
      <c r="Z89" s="386">
        <f t="shared" si="8"/>
        <v>0</v>
      </c>
      <c r="AA89" s="380">
        <v>0</v>
      </c>
      <c r="AB89" s="380">
        <v>0</v>
      </c>
      <c r="AC89" s="380">
        <v>0</v>
      </c>
      <c r="AD89" s="380">
        <v>0</v>
      </c>
      <c r="AE89" s="380">
        <v>0</v>
      </c>
      <c r="AF89" s="379"/>
      <c r="AG89" s="380">
        <v>1</v>
      </c>
      <c r="AH89" s="380">
        <v>1</v>
      </c>
      <c r="AI89" s="380">
        <v>1</v>
      </c>
      <c r="AJ89" s="380">
        <v>1</v>
      </c>
      <c r="AL89" s="391" t="s">
        <v>238</v>
      </c>
    </row>
    <row r="90" spans="1:39" s="1" customFormat="1" ht="12.75" customHeight="1" x14ac:dyDescent="0.25">
      <c r="A90" s="369">
        <f t="shared" si="9"/>
        <v>10</v>
      </c>
      <c r="B90" s="402"/>
      <c r="C90" s="612" t="s">
        <v>397</v>
      </c>
      <c r="D90" s="755"/>
      <c r="E90" s="755"/>
      <c r="F90" s="755"/>
      <c r="G90" s="755"/>
      <c r="H90" s="755"/>
      <c r="I90" s="755"/>
      <c r="J90" s="755"/>
      <c r="K90" s="755"/>
      <c r="L90" s="756"/>
      <c r="M90" s="757"/>
      <c r="N90" s="758"/>
      <c r="O90" s="758"/>
      <c r="P90" s="758"/>
      <c r="Q90" s="758"/>
      <c r="R90" s="758"/>
      <c r="S90" s="758"/>
      <c r="T90" s="759"/>
      <c r="U90" s="710"/>
      <c r="V90" s="721"/>
      <c r="W90" s="721"/>
      <c r="X90" s="721"/>
      <c r="Y90" s="371"/>
      <c r="Z90" s="386">
        <f t="shared" si="8"/>
        <v>0</v>
      </c>
      <c r="AA90" s="380">
        <v>0</v>
      </c>
      <c r="AB90" s="380">
        <v>0</v>
      </c>
      <c r="AC90" s="380">
        <v>0</v>
      </c>
      <c r="AD90" s="380">
        <v>0</v>
      </c>
      <c r="AE90" s="380">
        <v>0</v>
      </c>
      <c r="AF90" s="379"/>
      <c r="AG90" s="380">
        <v>1</v>
      </c>
      <c r="AH90" s="380">
        <v>1</v>
      </c>
      <c r="AI90" s="380">
        <v>1</v>
      </c>
      <c r="AJ90" s="380">
        <v>1</v>
      </c>
      <c r="AL90" s="366" t="s">
        <v>743</v>
      </c>
    </row>
    <row r="91" spans="1:39" s="1" customFormat="1" ht="12.75" customHeight="1" x14ac:dyDescent="0.25">
      <c r="A91" s="369">
        <f t="shared" si="9"/>
        <v>11</v>
      </c>
      <c r="B91" s="402"/>
      <c r="C91" s="615" t="s">
        <v>359</v>
      </c>
      <c r="D91" s="755"/>
      <c r="E91" s="755"/>
      <c r="F91" s="755"/>
      <c r="G91" s="755"/>
      <c r="H91" s="755"/>
      <c r="I91" s="755"/>
      <c r="J91" s="755"/>
      <c r="K91" s="755"/>
      <c r="L91" s="756"/>
      <c r="M91" s="757"/>
      <c r="N91" s="758"/>
      <c r="O91" s="758"/>
      <c r="P91" s="758"/>
      <c r="Q91" s="758"/>
      <c r="R91" s="758"/>
      <c r="S91" s="758"/>
      <c r="T91" s="759"/>
      <c r="U91" s="360"/>
      <c r="V91" s="2"/>
      <c r="W91" s="2"/>
      <c r="X91" s="2"/>
      <c r="Y91" s="371"/>
      <c r="Z91" s="386">
        <f t="shared" si="8"/>
        <v>0</v>
      </c>
      <c r="AA91" s="380">
        <v>0</v>
      </c>
      <c r="AB91" s="380">
        <v>0</v>
      </c>
      <c r="AC91" s="380">
        <v>0</v>
      </c>
      <c r="AD91" s="380">
        <v>0</v>
      </c>
      <c r="AE91" s="380">
        <v>0</v>
      </c>
      <c r="AF91" s="379"/>
      <c r="AG91" s="380">
        <v>1</v>
      </c>
      <c r="AH91" s="380">
        <v>1</v>
      </c>
      <c r="AI91" s="380">
        <v>1</v>
      </c>
      <c r="AJ91" s="380">
        <v>1</v>
      </c>
      <c r="AL91" s="366" t="s">
        <v>407</v>
      </c>
    </row>
    <row r="92" spans="1:39" s="1" customFormat="1" ht="12.75" customHeight="1" x14ac:dyDescent="0.25">
      <c r="A92" s="369">
        <f t="shared" si="9"/>
        <v>12</v>
      </c>
      <c r="B92" s="402"/>
      <c r="C92" s="615" t="s">
        <v>386</v>
      </c>
      <c r="D92" s="755"/>
      <c r="E92" s="755"/>
      <c r="F92" s="755"/>
      <c r="G92" s="755"/>
      <c r="H92" s="755"/>
      <c r="I92" s="755"/>
      <c r="J92" s="755"/>
      <c r="K92" s="755"/>
      <c r="L92" s="756"/>
      <c r="M92" s="757"/>
      <c r="N92" s="758"/>
      <c r="O92" s="758"/>
      <c r="P92" s="758"/>
      <c r="Q92" s="758"/>
      <c r="R92" s="758"/>
      <c r="S92" s="758"/>
      <c r="T92" s="759"/>
      <c r="U92" s="360"/>
      <c r="V92" s="2"/>
      <c r="W92" s="2"/>
      <c r="X92" s="2"/>
      <c r="Y92" s="371"/>
      <c r="Z92" s="386">
        <f t="shared" si="8"/>
        <v>0</v>
      </c>
      <c r="AA92" s="380">
        <v>0</v>
      </c>
      <c r="AB92" s="380">
        <v>0</v>
      </c>
      <c r="AC92" s="380">
        <v>0</v>
      </c>
      <c r="AD92" s="380">
        <v>0</v>
      </c>
      <c r="AE92" s="380">
        <v>0</v>
      </c>
      <c r="AF92" s="379"/>
      <c r="AG92" s="380">
        <v>1</v>
      </c>
      <c r="AH92" s="380">
        <v>1</v>
      </c>
      <c r="AI92" s="380">
        <v>1</v>
      </c>
      <c r="AJ92" s="380">
        <v>1</v>
      </c>
      <c r="AL92" s="366" t="s">
        <v>721</v>
      </c>
    </row>
    <row r="93" spans="1:39" s="1" customFormat="1" ht="12.75" customHeight="1" x14ac:dyDescent="0.25">
      <c r="A93" s="53">
        <f t="shared" si="9"/>
        <v>13</v>
      </c>
      <c r="B93" s="402"/>
      <c r="C93" s="615" t="s">
        <v>101</v>
      </c>
      <c r="D93" s="755"/>
      <c r="E93" s="755"/>
      <c r="F93" s="755"/>
      <c r="G93" s="755"/>
      <c r="H93" s="755"/>
      <c r="I93" s="755"/>
      <c r="J93" s="755"/>
      <c r="K93" s="755"/>
      <c r="L93" s="756"/>
      <c r="M93" s="760" t="s">
        <v>751</v>
      </c>
      <c r="N93" s="761"/>
      <c r="O93" s="761"/>
      <c r="P93" s="761"/>
      <c r="Q93" s="761"/>
      <c r="R93" s="761"/>
      <c r="S93" s="761"/>
      <c r="T93" s="762"/>
      <c r="U93" s="710"/>
      <c r="V93" s="721"/>
      <c r="W93" s="721"/>
      <c r="X93" s="721"/>
      <c r="Y93" s="371"/>
      <c r="Z93" s="386">
        <f t="shared" si="8"/>
        <v>0</v>
      </c>
      <c r="AA93" s="380">
        <v>0</v>
      </c>
      <c r="AB93" s="380">
        <v>0</v>
      </c>
      <c r="AC93" s="380">
        <v>0</v>
      </c>
      <c r="AD93" s="380">
        <v>0</v>
      </c>
      <c r="AE93" s="380">
        <v>0</v>
      </c>
      <c r="AF93" s="380">
        <v>0</v>
      </c>
      <c r="AG93" s="380">
        <v>0</v>
      </c>
      <c r="AH93" s="380">
        <v>0</v>
      </c>
      <c r="AI93" s="380">
        <v>0</v>
      </c>
      <c r="AJ93" s="380">
        <v>1</v>
      </c>
      <c r="AL93" s="366" t="s">
        <v>238</v>
      </c>
    </row>
    <row r="94" spans="1:39" s="1" customFormat="1" ht="12.75" customHeight="1" x14ac:dyDescent="0.25">
      <c r="A94" s="369">
        <f t="shared" si="9"/>
        <v>14</v>
      </c>
      <c r="B94" s="402"/>
      <c r="C94" s="615" t="s">
        <v>281</v>
      </c>
      <c r="D94" s="755"/>
      <c r="E94" s="755"/>
      <c r="F94" s="755"/>
      <c r="G94" s="755"/>
      <c r="H94" s="755"/>
      <c r="I94" s="755"/>
      <c r="J94" s="755"/>
      <c r="K94" s="755"/>
      <c r="L94" s="756"/>
      <c r="M94" s="644"/>
      <c r="N94" s="646"/>
      <c r="O94" s="777"/>
      <c r="P94" s="778"/>
      <c r="Q94" s="778"/>
      <c r="R94" s="778"/>
      <c r="S94" s="778"/>
      <c r="T94" s="778"/>
      <c r="U94" s="721"/>
      <c r="V94" s="721"/>
      <c r="W94" s="721"/>
      <c r="X94" s="721"/>
      <c r="Y94" s="371"/>
      <c r="Z94" s="386">
        <f t="shared" si="8"/>
        <v>0</v>
      </c>
      <c r="AA94" s="380">
        <v>0</v>
      </c>
      <c r="AB94" s="380">
        <v>0</v>
      </c>
      <c r="AC94" s="380">
        <v>0</v>
      </c>
      <c r="AD94" s="380">
        <v>0</v>
      </c>
      <c r="AE94" s="380">
        <v>0</v>
      </c>
      <c r="AF94" s="379"/>
      <c r="AG94" s="380">
        <v>1</v>
      </c>
      <c r="AH94" s="380">
        <v>1</v>
      </c>
      <c r="AI94" s="380">
        <v>1</v>
      </c>
      <c r="AJ94" s="380">
        <v>1</v>
      </c>
      <c r="AL94" s="366" t="s">
        <v>725</v>
      </c>
    </row>
    <row r="95" spans="1:39" s="1" customFormat="1" ht="12.75" customHeight="1" x14ac:dyDescent="0.25">
      <c r="A95" s="369"/>
      <c r="B95" s="371"/>
      <c r="C95" s="599"/>
      <c r="D95" s="599"/>
      <c r="E95" s="599"/>
      <c r="F95" s="599"/>
      <c r="G95" s="599"/>
      <c r="H95" s="599"/>
      <c r="I95" s="599"/>
      <c r="J95" s="599"/>
      <c r="K95" s="599"/>
      <c r="L95" s="599"/>
      <c r="M95" s="599"/>
      <c r="N95" s="599"/>
      <c r="O95" s="599"/>
      <c r="P95" s="599"/>
      <c r="Q95" s="599"/>
      <c r="R95" s="599"/>
      <c r="S95" s="599"/>
      <c r="T95" s="599"/>
      <c r="U95" s="599"/>
      <c r="V95" s="599"/>
      <c r="W95" s="599"/>
      <c r="X95" s="599"/>
      <c r="Y95" s="371"/>
      <c r="Z95" s="386" t="s">
        <v>2</v>
      </c>
      <c r="AA95" s="379" t="s">
        <v>2</v>
      </c>
      <c r="AB95" s="379" t="s">
        <v>2</v>
      </c>
      <c r="AC95" s="379" t="s">
        <v>2</v>
      </c>
      <c r="AD95" s="379" t="s">
        <v>2</v>
      </c>
      <c r="AE95" s="379" t="s">
        <v>2</v>
      </c>
      <c r="AF95" s="379"/>
      <c r="AG95" s="380" t="s">
        <v>2</v>
      </c>
      <c r="AH95" s="380" t="s">
        <v>2</v>
      </c>
      <c r="AI95" s="380" t="s">
        <v>2</v>
      </c>
      <c r="AJ95" s="380" t="s">
        <v>2</v>
      </c>
      <c r="AL95" s="366" t="s">
        <v>239</v>
      </c>
    </row>
    <row r="96" spans="1:39" s="543" customFormat="1" ht="12.75" customHeight="1" x14ac:dyDescent="0.25">
      <c r="A96" s="540"/>
      <c r="B96" s="541" t="s">
        <v>700</v>
      </c>
      <c r="C96" s="637" t="s">
        <v>124</v>
      </c>
      <c r="D96" s="637"/>
      <c r="E96" s="637"/>
      <c r="F96" s="637"/>
      <c r="G96" s="637"/>
      <c r="H96" s="637"/>
      <c r="I96" s="637"/>
      <c r="J96" s="637"/>
      <c r="K96" s="637"/>
      <c r="L96" s="637"/>
      <c r="M96" s="637"/>
      <c r="N96" s="637"/>
      <c r="O96" s="637"/>
      <c r="P96" s="637"/>
      <c r="Q96" s="637"/>
      <c r="R96" s="637"/>
      <c r="S96" s="637"/>
      <c r="T96" s="637"/>
      <c r="U96" s="637"/>
      <c r="V96" s="637"/>
      <c r="W96" s="637"/>
      <c r="X96" s="637"/>
      <c r="Y96" s="545"/>
      <c r="Z96" s="546" t="s">
        <v>2</v>
      </c>
      <c r="AA96" s="548" t="s">
        <v>2</v>
      </c>
      <c r="AB96" s="548" t="s">
        <v>2</v>
      </c>
      <c r="AC96" s="548" t="s">
        <v>2</v>
      </c>
      <c r="AD96" s="548" t="s">
        <v>2</v>
      </c>
      <c r="AE96" s="548" t="s">
        <v>2</v>
      </c>
      <c r="AF96" s="548"/>
      <c r="AG96" s="547" t="s">
        <v>2</v>
      </c>
      <c r="AH96" s="547" t="s">
        <v>2</v>
      </c>
      <c r="AI96" s="547" t="s">
        <v>2</v>
      </c>
      <c r="AJ96" s="547" t="s">
        <v>2</v>
      </c>
      <c r="AL96" s="550" t="s">
        <v>726</v>
      </c>
      <c r="AM96" s="549"/>
    </row>
    <row r="97" spans="1:39" s="46" customFormat="1" ht="12.75" customHeight="1" x14ac:dyDescent="0.25">
      <c r="A97" s="48"/>
      <c r="B97" s="347"/>
      <c r="C97" s="364"/>
      <c r="D97" s="364"/>
      <c r="E97" s="364"/>
      <c r="F97" s="364"/>
      <c r="G97" s="364"/>
      <c r="H97" s="364"/>
      <c r="I97" s="364"/>
      <c r="J97" s="364"/>
      <c r="K97" s="364"/>
      <c r="L97" s="364"/>
      <c r="M97" s="364"/>
      <c r="N97" s="364"/>
      <c r="O97" s="364"/>
      <c r="P97" s="364"/>
      <c r="Q97" s="615" t="s">
        <v>747</v>
      </c>
      <c r="R97" s="615"/>
      <c r="S97" s="615"/>
      <c r="T97" s="615"/>
      <c r="U97" s="615"/>
      <c r="V97" s="615"/>
      <c r="W97" s="615"/>
      <c r="X97" s="615"/>
      <c r="Y97" s="45"/>
      <c r="Z97" s="386" t="s">
        <v>2</v>
      </c>
      <c r="AA97" s="379" t="s">
        <v>2</v>
      </c>
      <c r="AB97" s="379" t="s">
        <v>2</v>
      </c>
      <c r="AC97" s="379" t="s">
        <v>2</v>
      </c>
      <c r="AD97" s="379" t="s">
        <v>2</v>
      </c>
      <c r="AE97" s="379" t="s">
        <v>2</v>
      </c>
      <c r="AF97" s="379"/>
      <c r="AG97" s="380" t="s">
        <v>2</v>
      </c>
      <c r="AH97" s="380" t="s">
        <v>2</v>
      </c>
      <c r="AI97" s="380" t="s">
        <v>2</v>
      </c>
      <c r="AJ97" s="380" t="s">
        <v>2</v>
      </c>
      <c r="AL97" s="366" t="s">
        <v>724</v>
      </c>
      <c r="AM97" s="1"/>
    </row>
    <row r="98" spans="1:39" s="1" customFormat="1" ht="12.75" customHeight="1" x14ac:dyDescent="0.25">
      <c r="A98" s="355">
        <v>1</v>
      </c>
      <c r="B98" s="402"/>
      <c r="C98" s="578" t="s">
        <v>516</v>
      </c>
      <c r="D98" s="578"/>
      <c r="E98" s="578"/>
      <c r="F98" s="578"/>
      <c r="G98" s="578"/>
      <c r="H98" s="578"/>
      <c r="I98" s="578"/>
      <c r="J98" s="578"/>
      <c r="K98" s="578"/>
      <c r="L98" s="579"/>
      <c r="M98" s="611" t="s">
        <v>238</v>
      </c>
      <c r="N98" s="611"/>
      <c r="O98" s="611"/>
      <c r="P98" s="611"/>
      <c r="Q98" s="624"/>
      <c r="R98" s="624"/>
      <c r="S98" s="624"/>
      <c r="T98" s="624"/>
      <c r="U98" s="624"/>
      <c r="V98" s="624"/>
      <c r="W98" s="624"/>
      <c r="X98" s="624"/>
      <c r="Y98" s="371"/>
      <c r="Z98" s="386">
        <f>IF(Z$3=0,0,IF(Z$3=1,AA98,IF(Z$3=2,AB98,IF(Z$3=3,AC98,IF(Z$3=4,AD98,IF(Z$3=5,AE98,IF(Z$3=6,AG98,IF(Z$3=7,AH98,IF(Z$3=8,AI98,IF(Z$3=9,AJ98,0))))))))))</f>
        <v>1</v>
      </c>
      <c r="AA98" s="380">
        <v>0</v>
      </c>
      <c r="AB98" s="380">
        <v>0</v>
      </c>
      <c r="AC98" s="380">
        <v>0</v>
      </c>
      <c r="AD98" s="379">
        <v>1</v>
      </c>
      <c r="AE98" s="379">
        <v>1</v>
      </c>
      <c r="AF98" s="379"/>
      <c r="AG98" s="380">
        <v>0</v>
      </c>
      <c r="AH98" s="380">
        <v>0</v>
      </c>
      <c r="AI98" s="380">
        <v>0</v>
      </c>
      <c r="AJ98" s="380">
        <v>0</v>
      </c>
      <c r="AL98" s="366" t="s">
        <v>345</v>
      </c>
    </row>
    <row r="99" spans="1:39" s="1" customFormat="1" ht="12.75" customHeight="1" x14ac:dyDescent="0.25">
      <c r="A99" s="355">
        <f>A98+1</f>
        <v>2</v>
      </c>
      <c r="B99" s="402"/>
      <c r="C99" s="612" t="s">
        <v>348</v>
      </c>
      <c r="D99" s="612"/>
      <c r="E99" s="612"/>
      <c r="F99" s="612"/>
      <c r="G99" s="612"/>
      <c r="H99" s="612"/>
      <c r="I99" s="612"/>
      <c r="J99" s="612"/>
      <c r="K99" s="612"/>
      <c r="L99" s="613"/>
      <c r="M99" s="696"/>
      <c r="N99" s="697"/>
      <c r="O99" s="598"/>
      <c r="P99" s="626"/>
      <c r="Q99" s="626"/>
      <c r="R99" s="626"/>
      <c r="S99" s="626"/>
      <c r="T99" s="626"/>
      <c r="U99" s="626"/>
      <c r="V99" s="626"/>
      <c r="W99" s="626"/>
      <c r="X99" s="626"/>
      <c r="Y99" s="371"/>
      <c r="Z99" s="386">
        <f>IF(Z$3=0,0,IF(Z$3=1,AA99,IF(Z$3=2,AB99,IF(Z$3=3,AC99,IF(Z$3=4,AD99,IF(Z$3=5,AE99,IF(Z$3=6,AG99,IF(Z$3=7,AH99,IF(Z$3=8,AI99,IF(Z$3=9,AJ99,0))))))))))</f>
        <v>1</v>
      </c>
      <c r="AA99" s="380">
        <v>0</v>
      </c>
      <c r="AB99" s="380">
        <v>0</v>
      </c>
      <c r="AC99" s="380">
        <v>0</v>
      </c>
      <c r="AD99" s="379">
        <v>1</v>
      </c>
      <c r="AE99" s="379">
        <v>1</v>
      </c>
      <c r="AF99" s="379"/>
      <c r="AG99" s="380">
        <v>0</v>
      </c>
      <c r="AH99" s="380">
        <v>0</v>
      </c>
      <c r="AI99" s="380">
        <v>0</v>
      </c>
      <c r="AJ99" s="380">
        <v>0</v>
      </c>
      <c r="AL99" s="366" t="s">
        <v>238</v>
      </c>
    </row>
    <row r="100" spans="1:39" s="1" customFormat="1" ht="12.75" customHeight="1" x14ac:dyDescent="0.25">
      <c r="A100" s="369">
        <f>A99+1</f>
        <v>3</v>
      </c>
      <c r="B100" s="402"/>
      <c r="C100" s="612" t="s">
        <v>347</v>
      </c>
      <c r="D100" s="612"/>
      <c r="E100" s="612"/>
      <c r="F100" s="612"/>
      <c r="G100" s="612"/>
      <c r="H100" s="612"/>
      <c r="I100" s="612"/>
      <c r="J100" s="612"/>
      <c r="K100" s="612"/>
      <c r="L100" s="613"/>
      <c r="M100" s="605"/>
      <c r="N100" s="606"/>
      <c r="O100" s="598"/>
      <c r="P100" s="626"/>
      <c r="Q100" s="626"/>
      <c r="R100" s="626"/>
      <c r="S100" s="626"/>
      <c r="T100" s="626"/>
      <c r="U100" s="626"/>
      <c r="V100" s="626"/>
      <c r="W100" s="626"/>
      <c r="X100" s="626"/>
      <c r="Y100" s="371"/>
      <c r="Z100" s="386">
        <f>IF(Z$3=0,0,IF(Z$3=1,AA100,IF(Z$3=2,AB100,IF(Z$3=3,AC100,IF(Z$3=4,AD100,IF(Z$3=5,AE100,IF(Z$3=6,AG100,IF(Z$3=7,AH100,IF(Z$3=8,AI100,IF(Z$3=9,AJ100,0))))))))))</f>
        <v>1</v>
      </c>
      <c r="AA100" s="380">
        <v>0</v>
      </c>
      <c r="AB100" s="380">
        <v>0</v>
      </c>
      <c r="AC100" s="379">
        <v>1</v>
      </c>
      <c r="AD100" s="379">
        <v>1</v>
      </c>
      <c r="AE100" s="379">
        <v>1</v>
      </c>
      <c r="AF100" s="379"/>
      <c r="AG100" s="380">
        <v>0</v>
      </c>
      <c r="AH100" s="380">
        <v>1</v>
      </c>
      <c r="AI100" s="380">
        <v>1</v>
      </c>
      <c r="AJ100" s="380">
        <v>1</v>
      </c>
      <c r="AL100" s="366" t="s">
        <v>722</v>
      </c>
    </row>
    <row r="101" spans="1:39" s="1" customFormat="1" ht="12.75" customHeight="1" x14ac:dyDescent="0.25">
      <c r="A101" s="369"/>
      <c r="B101" s="402"/>
      <c r="C101" s="626"/>
      <c r="D101" s="626"/>
      <c r="E101" s="626"/>
      <c r="F101" s="626"/>
      <c r="G101" s="626"/>
      <c r="H101" s="626"/>
      <c r="I101" s="626"/>
      <c r="J101" s="626"/>
      <c r="K101" s="626"/>
      <c r="L101" s="626"/>
      <c r="M101" s="767" t="s">
        <v>495</v>
      </c>
      <c r="N101" s="767"/>
      <c r="O101" s="768" t="s">
        <v>496</v>
      </c>
      <c r="P101" s="768"/>
      <c r="Q101" s="768" t="s">
        <v>497</v>
      </c>
      <c r="R101" s="768"/>
      <c r="S101" s="768" t="s">
        <v>61</v>
      </c>
      <c r="T101" s="768"/>
      <c r="U101" s="768" t="s">
        <v>30</v>
      </c>
      <c r="V101" s="768"/>
      <c r="W101" s="768" t="s">
        <v>272</v>
      </c>
      <c r="X101" s="768"/>
      <c r="Y101" s="371"/>
      <c r="Z101" s="386" t="s">
        <v>2</v>
      </c>
      <c r="AA101" s="380">
        <v>0</v>
      </c>
      <c r="AB101" s="380">
        <v>0</v>
      </c>
      <c r="AC101" s="379" t="s">
        <v>2</v>
      </c>
      <c r="AD101" s="379" t="s">
        <v>2</v>
      </c>
      <c r="AE101" s="379" t="s">
        <v>2</v>
      </c>
      <c r="AF101" s="379"/>
      <c r="AG101" s="380">
        <v>0</v>
      </c>
      <c r="AH101" s="380">
        <v>0</v>
      </c>
      <c r="AI101" s="380">
        <v>0</v>
      </c>
      <c r="AJ101" s="380">
        <v>0</v>
      </c>
      <c r="AL101" s="366" t="s">
        <v>723</v>
      </c>
    </row>
    <row r="102" spans="1:39" s="1" customFormat="1" ht="12.75" customHeight="1" x14ac:dyDescent="0.25">
      <c r="A102" s="369">
        <f>A100+1</f>
        <v>4</v>
      </c>
      <c r="B102" s="402"/>
      <c r="C102" s="612" t="s">
        <v>128</v>
      </c>
      <c r="D102" s="612"/>
      <c r="E102" s="612"/>
      <c r="F102" s="612"/>
      <c r="G102" s="612"/>
      <c r="H102" s="612"/>
      <c r="I102" s="612"/>
      <c r="J102" s="612"/>
      <c r="K102" s="612"/>
      <c r="L102" s="613"/>
      <c r="M102" s="605"/>
      <c r="N102" s="606"/>
      <c r="O102" s="605"/>
      <c r="P102" s="606"/>
      <c r="Q102" s="605"/>
      <c r="R102" s="606"/>
      <c r="S102" s="605"/>
      <c r="T102" s="606"/>
      <c r="U102" s="605"/>
      <c r="V102" s="606"/>
      <c r="W102" s="605"/>
      <c r="X102" s="606"/>
      <c r="Y102" s="371"/>
      <c r="Z102" s="386">
        <f>IF(Z$3=0,0,IF(Z$3=1,AA102,IF(Z$3=2,AB102,IF(Z$3=3,AC102,IF(Z$3=4,AD102,IF(Z$3=5,AE102,IF(Z$3=6,AG102,IF(Z$3=7,AH102,IF(Z$3=8,AI102,IF(Z$3=9,AJ102,0))))))))))</f>
        <v>1</v>
      </c>
      <c r="AA102" s="380">
        <v>0</v>
      </c>
      <c r="AB102" s="380">
        <v>0</v>
      </c>
      <c r="AC102" s="379">
        <v>1</v>
      </c>
      <c r="AD102" s="379">
        <v>1</v>
      </c>
      <c r="AE102" s="379">
        <v>1</v>
      </c>
      <c r="AF102" s="379"/>
      <c r="AG102" s="380">
        <v>0</v>
      </c>
      <c r="AH102" s="380">
        <v>0</v>
      </c>
      <c r="AI102" s="380">
        <v>0</v>
      </c>
      <c r="AJ102" s="380">
        <v>0</v>
      </c>
      <c r="AL102" s="366" t="s">
        <v>726</v>
      </c>
    </row>
    <row r="103" spans="1:39" s="1" customFormat="1" ht="12.75" customHeight="1" x14ac:dyDescent="0.25">
      <c r="A103" s="369"/>
      <c r="B103" s="402"/>
      <c r="C103" s="626"/>
      <c r="D103" s="626"/>
      <c r="E103" s="626"/>
      <c r="F103" s="626"/>
      <c r="G103" s="626"/>
      <c r="H103" s="626"/>
      <c r="I103" s="626"/>
      <c r="J103" s="626"/>
      <c r="K103" s="626"/>
      <c r="L103" s="626"/>
      <c r="M103" s="767" t="s">
        <v>498</v>
      </c>
      <c r="N103" s="767"/>
      <c r="O103" s="767" t="s">
        <v>499</v>
      </c>
      <c r="P103" s="767"/>
      <c r="Q103" s="767" t="s">
        <v>500</v>
      </c>
      <c r="R103" s="767"/>
      <c r="S103" s="767" t="s">
        <v>501</v>
      </c>
      <c r="T103" s="767"/>
      <c r="U103" s="767" t="s">
        <v>502</v>
      </c>
      <c r="V103" s="767"/>
      <c r="W103" s="767" t="s">
        <v>503</v>
      </c>
      <c r="X103" s="767"/>
      <c r="Y103" s="371"/>
      <c r="Z103" s="386" t="s">
        <v>2</v>
      </c>
      <c r="AA103" s="380">
        <v>0</v>
      </c>
      <c r="AB103" s="380">
        <v>0</v>
      </c>
      <c r="AC103" s="379" t="s">
        <v>2</v>
      </c>
      <c r="AD103" s="379" t="s">
        <v>2</v>
      </c>
      <c r="AE103" s="379" t="s">
        <v>2</v>
      </c>
      <c r="AF103" s="379"/>
      <c r="AG103" s="380">
        <v>0</v>
      </c>
      <c r="AH103" s="380">
        <v>0</v>
      </c>
      <c r="AI103" s="380">
        <v>0</v>
      </c>
      <c r="AJ103" s="380">
        <v>0</v>
      </c>
      <c r="AL103" s="366" t="s">
        <v>724</v>
      </c>
    </row>
    <row r="104" spans="1:39" s="1" customFormat="1" ht="12.75" customHeight="1" x14ac:dyDescent="0.25">
      <c r="A104" s="369">
        <f>A102+1</f>
        <v>5</v>
      </c>
      <c r="B104" s="402"/>
      <c r="C104" s="612" t="s">
        <v>129</v>
      </c>
      <c r="D104" s="612"/>
      <c r="E104" s="612"/>
      <c r="F104" s="612"/>
      <c r="G104" s="612"/>
      <c r="H104" s="605"/>
      <c r="I104" s="606"/>
      <c r="J104" s="626" t="s">
        <v>362</v>
      </c>
      <c r="K104" s="626"/>
      <c r="L104" s="600"/>
      <c r="M104" s="605"/>
      <c r="N104" s="606"/>
      <c r="O104" s="605"/>
      <c r="P104" s="606"/>
      <c r="Q104" s="605"/>
      <c r="R104" s="606"/>
      <c r="S104" s="605"/>
      <c r="T104" s="606"/>
      <c r="U104" s="605"/>
      <c r="V104" s="606"/>
      <c r="W104" s="605"/>
      <c r="X104" s="606"/>
      <c r="Y104" s="371"/>
      <c r="Z104" s="386">
        <f>IF(Z$3=0,0,IF(Z$3=1,AA104,IF(Z$3=2,AB104,IF(Z$3=3,AC104,IF(Z$3=4,AD104,IF(Z$3=5,AE104,IF(Z$3=6,AG104,IF(Z$3=7,AH104,IF(Z$3=8,AI104,IF(Z$3=9,AJ104,0))))))))))</f>
        <v>1</v>
      </c>
      <c r="AA104" s="380">
        <v>0</v>
      </c>
      <c r="AB104" s="380">
        <v>0</v>
      </c>
      <c r="AC104" s="379">
        <v>1</v>
      </c>
      <c r="AD104" s="379">
        <v>1</v>
      </c>
      <c r="AE104" s="379">
        <v>1</v>
      </c>
      <c r="AF104" s="379"/>
      <c r="AG104" s="380">
        <v>0</v>
      </c>
      <c r="AH104" s="380">
        <v>0</v>
      </c>
      <c r="AI104" s="380">
        <v>0</v>
      </c>
      <c r="AJ104" s="380">
        <v>0</v>
      </c>
      <c r="AL104" s="366" t="s">
        <v>345</v>
      </c>
    </row>
    <row r="105" spans="1:39" s="1" customFormat="1" ht="12.75" customHeight="1" x14ac:dyDescent="0.25">
      <c r="A105" s="369">
        <f>A104+1</f>
        <v>6</v>
      </c>
      <c r="B105" s="402"/>
      <c r="C105" s="612" t="s">
        <v>357</v>
      </c>
      <c r="D105" s="612"/>
      <c r="E105" s="612"/>
      <c r="F105" s="612"/>
      <c r="G105" s="612"/>
      <c r="H105" s="612"/>
      <c r="I105" s="612"/>
      <c r="J105" s="612"/>
      <c r="K105" s="612"/>
      <c r="L105" s="615"/>
      <c r="M105" s="635" t="s">
        <v>355</v>
      </c>
      <c r="N105" s="636"/>
      <c r="O105" s="605"/>
      <c r="P105" s="606"/>
      <c r="Q105" s="634" t="s">
        <v>356</v>
      </c>
      <c r="R105" s="636"/>
      <c r="S105" s="605"/>
      <c r="T105" s="606"/>
      <c r="U105" s="634" t="s">
        <v>358</v>
      </c>
      <c r="V105" s="636"/>
      <c r="W105" s="605"/>
      <c r="X105" s="606"/>
      <c r="Y105" s="371"/>
      <c r="Z105" s="386">
        <f>IF(Z$3=0,0,IF(Z$3=1,AA105,IF(Z$3=2,AB105,IF(Z$3=3,AC105,IF(Z$3=4,AD105,IF(Z$3=5,AE105,IF(Z$3=6,AG105,IF(Z$3=7,AH105,IF(Z$3=8,AI105,IF(Z$3=9,AJ105,0))))))))))</f>
        <v>1</v>
      </c>
      <c r="AA105" s="380">
        <v>0</v>
      </c>
      <c r="AB105" s="380">
        <v>0</v>
      </c>
      <c r="AC105" s="379">
        <v>1</v>
      </c>
      <c r="AD105" s="379">
        <v>1</v>
      </c>
      <c r="AE105" s="379">
        <v>1</v>
      </c>
      <c r="AF105" s="379"/>
      <c r="AG105" s="380">
        <v>0</v>
      </c>
      <c r="AH105" s="380">
        <v>0</v>
      </c>
      <c r="AI105" s="380">
        <v>0</v>
      </c>
      <c r="AJ105" s="380">
        <v>0</v>
      </c>
      <c r="AL105" s="366" t="s">
        <v>238</v>
      </c>
    </row>
    <row r="106" spans="1:39" s="1" customFormat="1" ht="12.75" customHeight="1" x14ac:dyDescent="0.25">
      <c r="A106" s="369"/>
      <c r="B106" s="402"/>
      <c r="C106" s="599"/>
      <c r="D106" s="599"/>
      <c r="E106" s="599"/>
      <c r="F106" s="599"/>
      <c r="G106" s="599"/>
      <c r="H106" s="599"/>
      <c r="I106" s="599"/>
      <c r="J106" s="599"/>
      <c r="K106" s="599"/>
      <c r="L106" s="599"/>
      <c r="M106" s="768" t="s">
        <v>349</v>
      </c>
      <c r="N106" s="768"/>
      <c r="O106" s="767" t="s">
        <v>352</v>
      </c>
      <c r="P106" s="767"/>
      <c r="Q106" s="768" t="s">
        <v>350</v>
      </c>
      <c r="R106" s="768"/>
      <c r="S106" s="768" t="s">
        <v>353</v>
      </c>
      <c r="T106" s="768"/>
      <c r="U106" s="768" t="s">
        <v>351</v>
      </c>
      <c r="V106" s="768"/>
      <c r="W106" s="767" t="s">
        <v>354</v>
      </c>
      <c r="X106" s="767"/>
      <c r="Y106" s="371"/>
      <c r="Z106" s="386" t="s">
        <v>2</v>
      </c>
      <c r="AA106" s="380" t="s">
        <v>2</v>
      </c>
      <c r="AB106" s="380" t="s">
        <v>2</v>
      </c>
      <c r="AC106" s="379" t="s">
        <v>2</v>
      </c>
      <c r="AD106" s="379" t="s">
        <v>2</v>
      </c>
      <c r="AE106" s="379" t="s">
        <v>2</v>
      </c>
      <c r="AF106" s="379"/>
      <c r="AG106" s="380" t="s">
        <v>2</v>
      </c>
      <c r="AH106" s="380" t="s">
        <v>2</v>
      </c>
      <c r="AI106" s="380" t="s">
        <v>2</v>
      </c>
      <c r="AJ106" s="380" t="s">
        <v>2</v>
      </c>
    </row>
    <row r="107" spans="1:39" s="5" customFormat="1" ht="12.75" customHeight="1" x14ac:dyDescent="0.25">
      <c r="A107" s="355">
        <f>A105+1</f>
        <v>7</v>
      </c>
      <c r="B107" s="403"/>
      <c r="C107" s="612" t="s">
        <v>115</v>
      </c>
      <c r="D107" s="612"/>
      <c r="E107" s="612"/>
      <c r="F107" s="612"/>
      <c r="G107" s="612"/>
      <c r="H107" s="612"/>
      <c r="I107" s="612"/>
      <c r="J107" s="612"/>
      <c r="K107" s="612"/>
      <c r="L107" s="613"/>
      <c r="M107" s="620" t="s">
        <v>238</v>
      </c>
      <c r="N107" s="620"/>
      <c r="O107" s="620"/>
      <c r="P107" s="620"/>
      <c r="Q107" s="620" t="s">
        <v>238</v>
      </c>
      <c r="R107" s="620"/>
      <c r="S107" s="620"/>
      <c r="T107" s="620"/>
      <c r="U107" s="620"/>
      <c r="V107" s="620"/>
      <c r="W107" s="620"/>
      <c r="X107" s="620"/>
      <c r="Y107" s="369"/>
      <c r="Z107" s="386">
        <f>IF(Z$3=0,0,IF(Z$3=1,AA107,IF(Z$3=2,AB107,IF(Z$3=3,AC107,IF(Z$3=4,AD107,IF(Z$3=5,AE107,IF(Z$3=6,AG107,IF(Z$3=7,AH107,IF(Z$3=8,AI107,IF(Z$3=9,AJ107,0))))))))))</f>
        <v>1</v>
      </c>
      <c r="AA107" s="380">
        <v>0</v>
      </c>
      <c r="AB107" s="380">
        <v>0</v>
      </c>
      <c r="AC107" s="380">
        <v>0</v>
      </c>
      <c r="AD107" s="380">
        <v>1</v>
      </c>
      <c r="AE107" s="380">
        <v>1</v>
      </c>
      <c r="AF107" s="380"/>
      <c r="AG107" s="380">
        <v>0</v>
      </c>
      <c r="AH107" s="380">
        <v>0</v>
      </c>
      <c r="AI107" s="380">
        <v>0</v>
      </c>
      <c r="AJ107" s="380">
        <v>0</v>
      </c>
      <c r="AL107" s="366" t="s">
        <v>1800</v>
      </c>
    </row>
    <row r="108" spans="1:39" s="5" customFormat="1" ht="12.75" customHeight="1" x14ac:dyDescent="0.25">
      <c r="A108" s="355">
        <f>A107+1</f>
        <v>8</v>
      </c>
      <c r="B108" s="403"/>
      <c r="C108" s="612" t="s">
        <v>448</v>
      </c>
      <c r="D108" s="612"/>
      <c r="E108" s="612"/>
      <c r="F108" s="612"/>
      <c r="G108" s="612"/>
      <c r="H108" s="612"/>
      <c r="I108" s="612"/>
      <c r="J108" s="612"/>
      <c r="K108" s="612"/>
      <c r="L108" s="613"/>
      <c r="M108" s="625"/>
      <c r="N108" s="625"/>
      <c r="O108" s="625"/>
      <c r="P108" s="625"/>
      <c r="Q108" s="625"/>
      <c r="R108" s="625"/>
      <c r="S108" s="625"/>
      <c r="T108" s="625"/>
      <c r="U108" s="625"/>
      <c r="V108" s="625"/>
      <c r="W108" s="625"/>
      <c r="X108" s="625"/>
      <c r="Y108" s="369"/>
      <c r="Z108" s="386">
        <f>IF(Z$3=0,0,IF(Z$3=1,AA108,IF(Z$3=2,AB108,IF(Z$3=3,AC108,IF(Z$3=4,AD108,IF(Z$3=5,AE108,IF(Z$3=6,AG108,IF(Z$3=7,AH108,IF(Z$3=8,AI108,IF(Z$3=9,AJ108,0))))))))))</f>
        <v>1</v>
      </c>
      <c r="AA108" s="380">
        <v>0</v>
      </c>
      <c r="AB108" s="380">
        <v>0</v>
      </c>
      <c r="AC108" s="380">
        <v>0</v>
      </c>
      <c r="AD108" s="380">
        <v>1</v>
      </c>
      <c r="AE108" s="380">
        <v>1</v>
      </c>
      <c r="AF108" s="380"/>
      <c r="AG108" s="380">
        <v>0</v>
      </c>
      <c r="AH108" s="380">
        <v>0</v>
      </c>
      <c r="AI108" s="380">
        <v>0</v>
      </c>
      <c r="AJ108" s="380">
        <v>0</v>
      </c>
      <c r="AL108" s="366" t="s">
        <v>1801</v>
      </c>
    </row>
    <row r="109" spans="1:39" s="5" customFormat="1" ht="12.75" customHeight="1" x14ac:dyDescent="0.25">
      <c r="A109" s="355">
        <f>A108+1</f>
        <v>9</v>
      </c>
      <c r="B109" s="403"/>
      <c r="C109" s="612" t="s">
        <v>447</v>
      </c>
      <c r="D109" s="612"/>
      <c r="E109" s="612"/>
      <c r="F109" s="612"/>
      <c r="G109" s="612"/>
      <c r="H109" s="612"/>
      <c r="I109" s="612"/>
      <c r="J109" s="612"/>
      <c r="K109" s="612"/>
      <c r="L109" s="613"/>
      <c r="M109" s="625"/>
      <c r="N109" s="625"/>
      <c r="O109" s="625"/>
      <c r="P109" s="625"/>
      <c r="Q109" s="610"/>
      <c r="R109" s="610"/>
      <c r="S109" s="610"/>
      <c r="T109" s="610"/>
      <c r="U109" s="625"/>
      <c r="V109" s="625"/>
      <c r="W109" s="625"/>
      <c r="X109" s="625"/>
      <c r="Y109" s="369"/>
      <c r="Z109" s="386">
        <f>IF(Z$3=0,0,IF(Z$3=1,AA109,IF(Z$3=2,AB109,IF(Z$3=3,AC109,IF(Z$3=4,AD109,IF(Z$3=5,AE109,IF(Z$3=6,AG109,IF(Z$3=7,AH109,IF(Z$3=8,AI109,IF(Z$3=9,AJ109,0))))))))))</f>
        <v>1</v>
      </c>
      <c r="AA109" s="380">
        <v>0</v>
      </c>
      <c r="AB109" s="380">
        <v>0</v>
      </c>
      <c r="AC109" s="380">
        <v>1</v>
      </c>
      <c r="AD109" s="380">
        <v>1</v>
      </c>
      <c r="AE109" s="380">
        <v>1</v>
      </c>
      <c r="AF109" s="380"/>
      <c r="AG109" s="380">
        <v>0</v>
      </c>
      <c r="AH109" s="380">
        <v>0</v>
      </c>
      <c r="AI109" s="380">
        <v>0</v>
      </c>
      <c r="AJ109" s="380">
        <v>0</v>
      </c>
      <c r="AL109" s="366" t="s">
        <v>1791</v>
      </c>
    </row>
    <row r="110" spans="1:39" s="571" customFormat="1" ht="12.75" customHeight="1" x14ac:dyDescent="0.25"/>
    <row r="111" spans="1:39" s="571" customFormat="1" ht="12.75" customHeight="1" x14ac:dyDescent="0.25"/>
    <row r="112" spans="1:39" s="1" customFormat="1" ht="12.75" customHeight="1" x14ac:dyDescent="0.25">
      <c r="A112" s="369">
        <f>A109+1</f>
        <v>10</v>
      </c>
      <c r="B112" s="402"/>
      <c r="C112" s="612" t="s">
        <v>126</v>
      </c>
      <c r="D112" s="612"/>
      <c r="E112" s="612"/>
      <c r="F112" s="612"/>
      <c r="G112" s="612"/>
      <c r="H112" s="612"/>
      <c r="I112" s="612"/>
      <c r="J112" s="612"/>
      <c r="K112" s="612"/>
      <c r="L112" s="613"/>
      <c r="M112" s="708"/>
      <c r="N112" s="709"/>
      <c r="O112" s="708"/>
      <c r="P112" s="748"/>
      <c r="Q112" s="605"/>
      <c r="R112" s="606"/>
      <c r="S112" s="605"/>
      <c r="T112" s="606"/>
      <c r="U112" s="708"/>
      <c r="V112" s="709"/>
      <c r="W112" s="708"/>
      <c r="X112" s="709"/>
      <c r="Y112" s="371"/>
      <c r="Z112" s="386">
        <f>IF(Z$3=0,0,IF(Z$3=1,AA112,IF(Z$3=2,AB112,IF(Z$3=3,AC112,IF(Z$3=4,AD112,IF(Z$3=5,AE112,IF(Z$3=6,AG112,IF(Z$3=7,AH112,IF(Z$3=8,AI112,IF(Z$3=9,AJ112,0))))))))))</f>
        <v>1</v>
      </c>
      <c r="AA112" s="380">
        <v>0</v>
      </c>
      <c r="AB112" s="380">
        <v>0</v>
      </c>
      <c r="AC112" s="380">
        <v>1</v>
      </c>
      <c r="AD112" s="379">
        <v>1</v>
      </c>
      <c r="AE112" s="379">
        <v>1</v>
      </c>
      <c r="AF112" s="379"/>
      <c r="AG112" s="380">
        <v>0</v>
      </c>
      <c r="AH112" s="380">
        <v>0</v>
      </c>
      <c r="AI112" s="380">
        <v>0</v>
      </c>
      <c r="AJ112" s="380">
        <v>0</v>
      </c>
      <c r="AL112" s="366" t="s">
        <v>721</v>
      </c>
    </row>
    <row r="113" spans="1:39" s="1" customFormat="1" ht="12.75" customHeight="1" x14ac:dyDescent="0.25">
      <c r="A113" s="355">
        <f>A112+1</f>
        <v>11</v>
      </c>
      <c r="B113" s="402"/>
      <c r="C113" s="612" t="s">
        <v>127</v>
      </c>
      <c r="D113" s="612"/>
      <c r="E113" s="612"/>
      <c r="F113" s="612"/>
      <c r="G113" s="612"/>
      <c r="H113" s="612"/>
      <c r="I113" s="612"/>
      <c r="J113" s="612"/>
      <c r="K113" s="612"/>
      <c r="L113" s="613"/>
      <c r="M113" s="708"/>
      <c r="N113" s="709"/>
      <c r="O113" s="708"/>
      <c r="P113" s="748"/>
      <c r="Q113" s="605"/>
      <c r="R113" s="606"/>
      <c r="S113" s="605"/>
      <c r="T113" s="606"/>
      <c r="U113" s="708"/>
      <c r="V113" s="709"/>
      <c r="W113" s="708"/>
      <c r="X113" s="709"/>
      <c r="Y113" s="371"/>
      <c r="Z113" s="386">
        <f>IF(Z$3=0,0,IF(Z$3=1,AA113,IF(Z$3=2,AB113,IF(Z$3=3,AC113,IF(Z$3=4,AD113,IF(Z$3=5,AE113,IF(Z$3=6,AG113,IF(Z$3=7,AH113,IF(Z$3=8,AI113,IF(Z$3=9,AJ113,0))))))))))</f>
        <v>1</v>
      </c>
      <c r="AA113" s="380">
        <v>0</v>
      </c>
      <c r="AB113" s="380">
        <v>0</v>
      </c>
      <c r="AC113" s="379">
        <v>1</v>
      </c>
      <c r="AD113" s="379">
        <v>1</v>
      </c>
      <c r="AE113" s="379">
        <v>1</v>
      </c>
      <c r="AF113" s="379"/>
      <c r="AG113" s="380">
        <v>0</v>
      </c>
      <c r="AH113" s="380">
        <v>0</v>
      </c>
      <c r="AI113" s="380">
        <v>0</v>
      </c>
      <c r="AJ113" s="380">
        <v>0</v>
      </c>
      <c r="AL113" s="366" t="s">
        <v>238</v>
      </c>
    </row>
    <row r="114" spans="1:39" s="1" customFormat="1" ht="3.75" customHeight="1" x14ac:dyDescent="0.25">
      <c r="A114" s="369"/>
      <c r="B114" s="402"/>
      <c r="C114" s="626"/>
      <c r="D114" s="626"/>
      <c r="E114" s="626"/>
      <c r="F114" s="626"/>
      <c r="G114" s="626"/>
      <c r="H114" s="626"/>
      <c r="I114" s="626"/>
      <c r="J114" s="626"/>
      <c r="K114" s="626"/>
      <c r="L114" s="626"/>
      <c r="M114" s="626"/>
      <c r="N114" s="626"/>
      <c r="O114" s="626"/>
      <c r="P114" s="626"/>
      <c r="Q114" s="626"/>
      <c r="R114" s="626"/>
      <c r="S114" s="626"/>
      <c r="T114" s="626"/>
      <c r="U114" s="626"/>
      <c r="V114" s="626"/>
      <c r="W114" s="626"/>
      <c r="X114" s="626"/>
      <c r="Y114" s="371"/>
      <c r="Z114" s="386"/>
      <c r="AA114" s="380"/>
      <c r="AB114" s="380"/>
      <c r="AC114" s="379"/>
      <c r="AD114" s="379"/>
      <c r="AE114" s="379"/>
      <c r="AF114" s="379"/>
      <c r="AG114" s="380"/>
      <c r="AH114" s="380"/>
      <c r="AI114" s="380"/>
      <c r="AJ114" s="380"/>
    </row>
    <row r="115" spans="1:39" s="1" customFormat="1" ht="12.75" customHeight="1" x14ac:dyDescent="0.25">
      <c r="A115" s="369">
        <f>A113+1</f>
        <v>12</v>
      </c>
      <c r="B115" s="402"/>
      <c r="C115" s="578" t="s">
        <v>408</v>
      </c>
      <c r="D115" s="578"/>
      <c r="E115" s="578"/>
      <c r="F115" s="578"/>
      <c r="G115" s="578"/>
      <c r="H115" s="578"/>
      <c r="I115" s="578"/>
      <c r="J115" s="578"/>
      <c r="K115" s="578"/>
      <c r="L115" s="579"/>
      <c r="M115" s="360" t="s">
        <v>238</v>
      </c>
      <c r="N115" s="631" t="s">
        <v>320</v>
      </c>
      <c r="O115" s="615"/>
      <c r="P115" s="615"/>
      <c r="Q115" s="599" t="s">
        <v>393</v>
      </c>
      <c r="R115" s="600"/>
      <c r="S115" s="605"/>
      <c r="T115" s="606"/>
      <c r="U115" s="598" t="s">
        <v>394</v>
      </c>
      <c r="V115" s="600"/>
      <c r="W115" s="605"/>
      <c r="X115" s="606"/>
      <c r="Y115" s="371"/>
      <c r="Z115" s="386">
        <f t="shared" ref="Z115:Z125" si="10">IF(Z$3=0,0,IF(Z$3=1,AA115,IF(Z$3=2,AB115,IF(Z$3=3,AC115,IF(Z$3=4,AD115,IF(Z$3=5,AE115,IF(Z$3=6,AG115,IF(Z$3=7,AH115,IF(Z$3=8,AI115,IF(Z$3=9,AJ115,0))))))))))</f>
        <v>1</v>
      </c>
      <c r="AA115" s="380">
        <v>0</v>
      </c>
      <c r="AB115" s="380">
        <v>0</v>
      </c>
      <c r="AC115" s="379">
        <v>1</v>
      </c>
      <c r="AD115" s="379">
        <v>1</v>
      </c>
      <c r="AE115" s="379">
        <v>1</v>
      </c>
      <c r="AF115" s="379"/>
      <c r="AG115" s="380">
        <v>0</v>
      </c>
      <c r="AH115" s="380">
        <v>1</v>
      </c>
      <c r="AI115" s="380">
        <v>1</v>
      </c>
      <c r="AJ115" s="380">
        <v>1</v>
      </c>
      <c r="AL115" s="1" t="s">
        <v>759</v>
      </c>
    </row>
    <row r="116" spans="1:39" s="1" customFormat="1" ht="12.75" customHeight="1" x14ac:dyDescent="0.25">
      <c r="A116" s="369">
        <f t="shared" ref="A116:A125" si="11">A115+1</f>
        <v>13</v>
      </c>
      <c r="B116" s="402"/>
      <c r="C116" s="578" t="s">
        <v>1794</v>
      </c>
      <c r="D116" s="578"/>
      <c r="E116" s="578"/>
      <c r="F116" s="578"/>
      <c r="G116" s="578"/>
      <c r="H116" s="578"/>
      <c r="I116" s="578"/>
      <c r="J116" s="578"/>
      <c r="K116" s="578"/>
      <c r="L116" s="579"/>
      <c r="M116" s="522" t="s">
        <v>238</v>
      </c>
      <c r="N116" s="581" t="s">
        <v>469</v>
      </c>
      <c r="O116" s="582"/>
      <c r="P116" s="583"/>
      <c r="Q116" s="580"/>
      <c r="R116" s="580"/>
      <c r="S116" s="580"/>
      <c r="T116" s="580"/>
      <c r="U116" s="580"/>
      <c r="V116" s="580"/>
      <c r="W116" s="580"/>
      <c r="X116" s="580"/>
      <c r="Y116" s="371"/>
      <c r="Z116" s="386">
        <f t="shared" si="10"/>
        <v>1</v>
      </c>
      <c r="AA116" s="380">
        <v>0</v>
      </c>
      <c r="AB116" s="380">
        <v>0</v>
      </c>
      <c r="AC116" s="379">
        <v>1</v>
      </c>
      <c r="AD116" s="379">
        <v>1</v>
      </c>
      <c r="AE116" s="379">
        <v>1</v>
      </c>
      <c r="AF116" s="379"/>
      <c r="AG116" s="380">
        <v>0</v>
      </c>
      <c r="AH116" s="380">
        <v>1</v>
      </c>
      <c r="AI116" s="380">
        <v>1</v>
      </c>
      <c r="AJ116" s="380">
        <v>1</v>
      </c>
      <c r="AL116" s="1" t="s">
        <v>239</v>
      </c>
    </row>
    <row r="117" spans="1:39" s="1" customFormat="1" ht="12.75" customHeight="1" x14ac:dyDescent="0.25">
      <c r="A117" s="355">
        <f t="shared" si="11"/>
        <v>14</v>
      </c>
      <c r="B117" s="402"/>
      <c r="C117" s="578" t="s">
        <v>1799</v>
      </c>
      <c r="D117" s="578"/>
      <c r="E117" s="578"/>
      <c r="F117" s="578"/>
      <c r="G117" s="578"/>
      <c r="H117" s="578"/>
      <c r="I117" s="578"/>
      <c r="J117" s="578"/>
      <c r="K117" s="578"/>
      <c r="L117" s="579"/>
      <c r="M117" s="522" t="s">
        <v>238</v>
      </c>
      <c r="N117" s="581" t="s">
        <v>469</v>
      </c>
      <c r="O117" s="582"/>
      <c r="P117" s="583"/>
      <c r="Q117" s="580"/>
      <c r="R117" s="580"/>
      <c r="S117" s="580"/>
      <c r="T117" s="580"/>
      <c r="U117" s="580"/>
      <c r="V117" s="580"/>
      <c r="W117" s="580"/>
      <c r="X117" s="580"/>
      <c r="Y117" s="371"/>
      <c r="Z117" s="386">
        <f t="shared" si="10"/>
        <v>1</v>
      </c>
      <c r="AA117" s="380">
        <v>0</v>
      </c>
      <c r="AB117" s="380">
        <v>0</v>
      </c>
      <c r="AC117" s="379">
        <v>0</v>
      </c>
      <c r="AD117" s="379">
        <v>1</v>
      </c>
      <c r="AE117" s="379">
        <v>1</v>
      </c>
      <c r="AF117" s="379"/>
      <c r="AG117" s="380">
        <v>0</v>
      </c>
      <c r="AH117" s="380">
        <v>0</v>
      </c>
      <c r="AI117" s="380">
        <v>1</v>
      </c>
      <c r="AJ117" s="380">
        <v>1</v>
      </c>
      <c r="AL117" s="1" t="s">
        <v>298</v>
      </c>
    </row>
    <row r="118" spans="1:39" s="1" customFormat="1" ht="12.75" customHeight="1" x14ac:dyDescent="0.25">
      <c r="A118" s="369">
        <f t="shared" si="11"/>
        <v>15</v>
      </c>
      <c r="B118" s="402"/>
      <c r="C118" s="578" t="s">
        <v>1798</v>
      </c>
      <c r="D118" s="578"/>
      <c r="E118" s="578"/>
      <c r="F118" s="578"/>
      <c r="G118" s="578"/>
      <c r="H118" s="578"/>
      <c r="I118" s="578"/>
      <c r="J118" s="578"/>
      <c r="K118" s="578"/>
      <c r="L118" s="579"/>
      <c r="M118" s="522" t="s">
        <v>238</v>
      </c>
      <c r="N118" s="581" t="s">
        <v>469</v>
      </c>
      <c r="O118" s="582"/>
      <c r="P118" s="583"/>
      <c r="Q118" s="580"/>
      <c r="R118" s="580"/>
      <c r="S118" s="580"/>
      <c r="T118" s="580"/>
      <c r="U118" s="580"/>
      <c r="V118" s="580"/>
      <c r="W118" s="580"/>
      <c r="X118" s="580"/>
      <c r="Y118" s="371"/>
      <c r="Z118" s="386">
        <f t="shared" si="10"/>
        <v>1</v>
      </c>
      <c r="AA118" s="380">
        <v>0</v>
      </c>
      <c r="AB118" s="380">
        <v>0</v>
      </c>
      <c r="AC118" s="379">
        <v>1</v>
      </c>
      <c r="AD118" s="379">
        <v>1</v>
      </c>
      <c r="AE118" s="379">
        <v>1</v>
      </c>
      <c r="AF118" s="379"/>
      <c r="AG118" s="380">
        <v>0</v>
      </c>
      <c r="AH118" s="380">
        <v>1</v>
      </c>
      <c r="AI118" s="380">
        <v>1</v>
      </c>
      <c r="AJ118" s="380">
        <v>1</v>
      </c>
      <c r="AL118" s="523" t="s">
        <v>721</v>
      </c>
    </row>
    <row r="119" spans="1:39" s="1" customFormat="1" ht="12.75" customHeight="1" x14ac:dyDescent="0.25">
      <c r="A119" s="355">
        <f t="shared" si="11"/>
        <v>16</v>
      </c>
      <c r="B119" s="402"/>
      <c r="C119" s="578" t="s">
        <v>1795</v>
      </c>
      <c r="D119" s="578"/>
      <c r="E119" s="578"/>
      <c r="F119" s="578"/>
      <c r="G119" s="578"/>
      <c r="H119" s="578"/>
      <c r="I119" s="578"/>
      <c r="J119" s="578"/>
      <c r="K119" s="578"/>
      <c r="L119" s="579"/>
      <c r="M119" s="522" t="s">
        <v>238</v>
      </c>
      <c r="N119" s="581" t="s">
        <v>469</v>
      </c>
      <c r="O119" s="582"/>
      <c r="P119" s="583"/>
      <c r="Q119" s="580"/>
      <c r="R119" s="580"/>
      <c r="S119" s="580"/>
      <c r="T119" s="580"/>
      <c r="U119" s="580"/>
      <c r="V119" s="580"/>
      <c r="W119" s="580"/>
      <c r="X119" s="580"/>
      <c r="Y119" s="371"/>
      <c r="Z119" s="386">
        <f t="shared" si="10"/>
        <v>1</v>
      </c>
      <c r="AA119" s="380">
        <v>0</v>
      </c>
      <c r="AB119" s="380">
        <v>0</v>
      </c>
      <c r="AC119" s="379">
        <v>0</v>
      </c>
      <c r="AD119" s="379">
        <v>1</v>
      </c>
      <c r="AE119" s="379">
        <v>1</v>
      </c>
      <c r="AF119" s="379"/>
      <c r="AG119" s="380">
        <v>0</v>
      </c>
      <c r="AH119" s="380">
        <v>0</v>
      </c>
      <c r="AI119" s="380">
        <v>1</v>
      </c>
      <c r="AJ119" s="380">
        <v>1</v>
      </c>
      <c r="AL119" s="1" t="s">
        <v>238</v>
      </c>
    </row>
    <row r="120" spans="1:39" s="1" customFormat="1" ht="12.75" customHeight="1" x14ac:dyDescent="0.25">
      <c r="A120" s="369">
        <f t="shared" si="11"/>
        <v>17</v>
      </c>
      <c r="B120" s="402"/>
      <c r="C120" s="578" t="s">
        <v>1796</v>
      </c>
      <c r="D120" s="578"/>
      <c r="E120" s="578"/>
      <c r="F120" s="578"/>
      <c r="G120" s="578"/>
      <c r="H120" s="578"/>
      <c r="I120" s="578"/>
      <c r="J120" s="578"/>
      <c r="K120" s="578"/>
      <c r="L120" s="579"/>
      <c r="M120" s="522" t="s">
        <v>238</v>
      </c>
      <c r="N120" s="581" t="s">
        <v>469</v>
      </c>
      <c r="O120" s="582"/>
      <c r="P120" s="583"/>
      <c r="Q120" s="580"/>
      <c r="R120" s="580"/>
      <c r="S120" s="580"/>
      <c r="T120" s="580"/>
      <c r="U120" s="580"/>
      <c r="V120" s="580"/>
      <c r="W120" s="580"/>
      <c r="X120" s="580"/>
      <c r="Y120" s="371"/>
      <c r="Z120" s="386">
        <f t="shared" si="10"/>
        <v>1</v>
      </c>
      <c r="AA120" s="380">
        <v>0</v>
      </c>
      <c r="AB120" s="380">
        <v>0</v>
      </c>
      <c r="AC120" s="379">
        <v>1</v>
      </c>
      <c r="AD120" s="379">
        <v>1</v>
      </c>
      <c r="AE120" s="379">
        <v>1</v>
      </c>
      <c r="AF120" s="379"/>
      <c r="AG120" s="380">
        <v>0</v>
      </c>
      <c r="AH120" s="380">
        <v>0</v>
      </c>
      <c r="AI120" s="380">
        <v>0</v>
      </c>
      <c r="AJ120" s="380">
        <v>0</v>
      </c>
      <c r="AL120" s="366" t="s">
        <v>744</v>
      </c>
    </row>
    <row r="121" spans="1:39" s="1" customFormat="1" ht="12.75" customHeight="1" x14ac:dyDescent="0.25">
      <c r="A121" s="355">
        <f t="shared" si="11"/>
        <v>18</v>
      </c>
      <c r="B121" s="402"/>
      <c r="C121" s="578" t="s">
        <v>1797</v>
      </c>
      <c r="D121" s="578"/>
      <c r="E121" s="578"/>
      <c r="F121" s="578"/>
      <c r="G121" s="578"/>
      <c r="H121" s="578"/>
      <c r="I121" s="578"/>
      <c r="J121" s="578"/>
      <c r="K121" s="578"/>
      <c r="L121" s="579"/>
      <c r="M121" s="522" t="s">
        <v>238</v>
      </c>
      <c r="N121" s="581" t="s">
        <v>469</v>
      </c>
      <c r="O121" s="582"/>
      <c r="P121" s="583"/>
      <c r="Q121" s="580"/>
      <c r="R121" s="580"/>
      <c r="S121" s="580"/>
      <c r="T121" s="580"/>
      <c r="U121" s="580"/>
      <c r="V121" s="580"/>
      <c r="W121" s="580"/>
      <c r="X121" s="580"/>
      <c r="Y121" s="371"/>
      <c r="Z121" s="386">
        <f t="shared" si="10"/>
        <v>1</v>
      </c>
      <c r="AA121" s="380">
        <v>0</v>
      </c>
      <c r="AB121" s="380">
        <v>0</v>
      </c>
      <c r="AC121" s="379">
        <v>0</v>
      </c>
      <c r="AD121" s="379">
        <v>1</v>
      </c>
      <c r="AE121" s="379">
        <v>1</v>
      </c>
      <c r="AF121" s="379"/>
      <c r="AG121" s="380">
        <v>0</v>
      </c>
      <c r="AH121" s="380">
        <v>0</v>
      </c>
      <c r="AI121" s="380">
        <v>0</v>
      </c>
      <c r="AJ121" s="380">
        <v>0</v>
      </c>
      <c r="AL121" s="366" t="s">
        <v>721</v>
      </c>
    </row>
    <row r="122" spans="1:39" s="1" customFormat="1" ht="12.75" customHeight="1" x14ac:dyDescent="0.25">
      <c r="A122" s="369">
        <f t="shared" si="11"/>
        <v>19</v>
      </c>
      <c r="B122" s="402"/>
      <c r="C122" s="578" t="s">
        <v>1793</v>
      </c>
      <c r="D122" s="578"/>
      <c r="E122" s="578"/>
      <c r="F122" s="578"/>
      <c r="G122" s="578"/>
      <c r="H122" s="578"/>
      <c r="I122" s="578"/>
      <c r="J122" s="578"/>
      <c r="K122" s="578"/>
      <c r="L122" s="579"/>
      <c r="M122" s="572" t="s">
        <v>238</v>
      </c>
      <c r="N122" s="573"/>
      <c r="O122" s="573"/>
      <c r="P122" s="574"/>
      <c r="Q122" s="575"/>
      <c r="R122" s="576"/>
      <c r="S122" s="576"/>
      <c r="T122" s="576"/>
      <c r="U122" s="576"/>
      <c r="V122" s="576"/>
      <c r="W122" s="576"/>
      <c r="X122" s="577"/>
      <c r="Y122" s="371"/>
      <c r="Z122" s="386">
        <f t="shared" si="10"/>
        <v>1</v>
      </c>
      <c r="AA122" s="380">
        <v>0</v>
      </c>
      <c r="AB122" s="380">
        <v>0</v>
      </c>
      <c r="AC122" s="379">
        <v>1</v>
      </c>
      <c r="AD122" s="379">
        <v>1</v>
      </c>
      <c r="AE122" s="379">
        <v>1</v>
      </c>
      <c r="AF122" s="379"/>
      <c r="AG122" s="380">
        <v>0</v>
      </c>
      <c r="AH122" s="380">
        <v>1</v>
      </c>
      <c r="AI122" s="380">
        <v>1</v>
      </c>
      <c r="AJ122" s="380">
        <v>1</v>
      </c>
      <c r="AL122" s="1" t="s">
        <v>238</v>
      </c>
    </row>
    <row r="123" spans="1:39" s="1" customFormat="1" ht="12.75" customHeight="1" x14ac:dyDescent="0.25">
      <c r="A123" s="355">
        <f t="shared" si="11"/>
        <v>20</v>
      </c>
      <c r="B123" s="402"/>
      <c r="C123" s="578" t="s">
        <v>1792</v>
      </c>
      <c r="D123" s="578"/>
      <c r="E123" s="578"/>
      <c r="F123" s="578"/>
      <c r="G123" s="578"/>
      <c r="H123" s="578"/>
      <c r="I123" s="578"/>
      <c r="J123" s="578"/>
      <c r="K123" s="578"/>
      <c r="L123" s="579"/>
      <c r="M123" s="572" t="s">
        <v>238</v>
      </c>
      <c r="N123" s="573"/>
      <c r="O123" s="573"/>
      <c r="P123" s="573"/>
      <c r="Q123" s="575"/>
      <c r="R123" s="576"/>
      <c r="S123" s="576"/>
      <c r="T123" s="576"/>
      <c r="U123" s="576"/>
      <c r="V123" s="576"/>
      <c r="W123" s="576"/>
      <c r="X123" s="577"/>
      <c r="Y123" s="371"/>
      <c r="Z123" s="386">
        <f t="shared" si="10"/>
        <v>1</v>
      </c>
      <c r="AA123" s="380">
        <v>0</v>
      </c>
      <c r="AB123" s="380">
        <v>0</v>
      </c>
      <c r="AC123" s="379">
        <v>0</v>
      </c>
      <c r="AD123" s="379">
        <v>1</v>
      </c>
      <c r="AE123" s="379">
        <v>1</v>
      </c>
      <c r="AF123" s="379"/>
      <c r="AG123" s="380">
        <v>0</v>
      </c>
      <c r="AH123" s="380">
        <v>0</v>
      </c>
      <c r="AI123" s="380">
        <v>1</v>
      </c>
      <c r="AJ123" s="380">
        <v>1</v>
      </c>
      <c r="AL123" s="366" t="s">
        <v>746</v>
      </c>
    </row>
    <row r="124" spans="1:39" s="1" customFormat="1" ht="12.75" customHeight="1" x14ac:dyDescent="0.25">
      <c r="A124" s="369">
        <f t="shared" si="11"/>
        <v>21</v>
      </c>
      <c r="B124" s="402"/>
      <c r="C124" s="578" t="s">
        <v>364</v>
      </c>
      <c r="D124" s="578"/>
      <c r="E124" s="578"/>
      <c r="F124" s="578"/>
      <c r="G124" s="578"/>
      <c r="H124" s="578"/>
      <c r="I124" s="578"/>
      <c r="J124" s="578"/>
      <c r="K124" s="578"/>
      <c r="L124" s="579"/>
      <c r="M124" s="572" t="s">
        <v>238</v>
      </c>
      <c r="N124" s="573"/>
      <c r="O124" s="573"/>
      <c r="P124" s="573"/>
      <c r="Q124" s="575"/>
      <c r="R124" s="576"/>
      <c r="S124" s="576"/>
      <c r="T124" s="576"/>
      <c r="U124" s="576"/>
      <c r="V124" s="576"/>
      <c r="W124" s="576"/>
      <c r="X124" s="577"/>
      <c r="Y124" s="371"/>
      <c r="Z124" s="386">
        <f t="shared" si="10"/>
        <v>1</v>
      </c>
      <c r="AA124" s="380">
        <v>0</v>
      </c>
      <c r="AB124" s="380">
        <v>0</v>
      </c>
      <c r="AC124" s="379">
        <v>1</v>
      </c>
      <c r="AD124" s="379">
        <v>1</v>
      </c>
      <c r="AE124" s="379">
        <v>1</v>
      </c>
      <c r="AF124" s="379"/>
      <c r="AG124" s="380">
        <v>0</v>
      </c>
      <c r="AH124" s="380">
        <v>0</v>
      </c>
      <c r="AI124" s="380">
        <v>0</v>
      </c>
      <c r="AJ124" s="380">
        <v>0</v>
      </c>
      <c r="AL124" s="366" t="s">
        <v>745</v>
      </c>
    </row>
    <row r="125" spans="1:39" s="1" customFormat="1" ht="12.75" customHeight="1" x14ac:dyDescent="0.25">
      <c r="A125" s="355">
        <f t="shared" si="11"/>
        <v>22</v>
      </c>
      <c r="B125" s="402"/>
      <c r="C125" s="578" t="s">
        <v>364</v>
      </c>
      <c r="D125" s="578"/>
      <c r="E125" s="578"/>
      <c r="F125" s="578"/>
      <c r="G125" s="578"/>
      <c r="H125" s="578"/>
      <c r="I125" s="578"/>
      <c r="J125" s="578"/>
      <c r="K125" s="578"/>
      <c r="L125" s="579"/>
      <c r="M125" s="572" t="s">
        <v>238</v>
      </c>
      <c r="N125" s="573"/>
      <c r="O125" s="573"/>
      <c r="P125" s="574"/>
      <c r="Q125" s="575"/>
      <c r="R125" s="576"/>
      <c r="S125" s="576"/>
      <c r="T125" s="576"/>
      <c r="U125" s="576"/>
      <c r="V125" s="576"/>
      <c r="W125" s="576"/>
      <c r="X125" s="577"/>
      <c r="Y125" s="371"/>
      <c r="Z125" s="386">
        <f t="shared" si="10"/>
        <v>1</v>
      </c>
      <c r="AA125" s="380">
        <v>0</v>
      </c>
      <c r="AB125" s="380">
        <v>0</v>
      </c>
      <c r="AC125" s="379">
        <v>0</v>
      </c>
      <c r="AD125" s="379">
        <v>1</v>
      </c>
      <c r="AE125" s="379">
        <v>1</v>
      </c>
      <c r="AF125" s="379"/>
      <c r="AG125" s="380">
        <v>0</v>
      </c>
      <c r="AH125" s="380">
        <v>0</v>
      </c>
      <c r="AI125" s="380">
        <v>0</v>
      </c>
      <c r="AJ125" s="380">
        <v>0</v>
      </c>
      <c r="AL125" s="366" t="s">
        <v>238</v>
      </c>
    </row>
    <row r="126" spans="1:39" s="1" customFormat="1" ht="12.75" customHeight="1" x14ac:dyDescent="0.25">
      <c r="A126" s="369"/>
      <c r="B126" s="371"/>
      <c r="C126" s="626"/>
      <c r="D126" s="626"/>
      <c r="E126" s="626"/>
      <c r="F126" s="626"/>
      <c r="G126" s="626"/>
      <c r="H126" s="626"/>
      <c r="I126" s="626"/>
      <c r="J126" s="626"/>
      <c r="K126" s="626"/>
      <c r="L126" s="626"/>
      <c r="M126" s="626"/>
      <c r="N126" s="626"/>
      <c r="O126" s="626"/>
      <c r="P126" s="626"/>
      <c r="Q126" s="626"/>
      <c r="R126" s="626"/>
      <c r="S126" s="626"/>
      <c r="T126" s="626"/>
      <c r="U126" s="626"/>
      <c r="V126" s="626"/>
      <c r="W126" s="626"/>
      <c r="X126" s="626"/>
      <c r="Y126" s="371"/>
      <c r="Z126" s="386" t="s">
        <v>2</v>
      </c>
      <c r="AA126" s="380">
        <v>0</v>
      </c>
      <c r="AB126" s="380">
        <v>0</v>
      </c>
      <c r="AC126" s="379" t="s">
        <v>2</v>
      </c>
      <c r="AD126" s="379" t="s">
        <v>2</v>
      </c>
      <c r="AE126" s="379" t="s">
        <v>2</v>
      </c>
      <c r="AF126" s="379"/>
      <c r="AG126" s="380">
        <v>0</v>
      </c>
      <c r="AH126" s="380">
        <v>0</v>
      </c>
      <c r="AI126" s="380">
        <v>0</v>
      </c>
      <c r="AJ126" s="380">
        <v>0</v>
      </c>
      <c r="AL126" s="366" t="s">
        <v>148</v>
      </c>
    </row>
    <row r="127" spans="1:39" s="543" customFormat="1" ht="12.75" customHeight="1" x14ac:dyDescent="0.25">
      <c r="A127" s="540"/>
      <c r="B127" s="541" t="s">
        <v>701</v>
      </c>
      <c r="C127" s="637" t="s">
        <v>130</v>
      </c>
      <c r="D127" s="637"/>
      <c r="E127" s="637"/>
      <c r="F127" s="637"/>
      <c r="G127" s="637"/>
      <c r="H127" s="637"/>
      <c r="I127" s="637"/>
      <c r="J127" s="637"/>
      <c r="K127" s="637"/>
      <c r="L127" s="637"/>
      <c r="M127" s="637"/>
      <c r="N127" s="637"/>
      <c r="O127" s="637"/>
      <c r="P127" s="637"/>
      <c r="Q127" s="637"/>
      <c r="R127" s="637"/>
      <c r="S127" s="637"/>
      <c r="T127" s="637"/>
      <c r="U127" s="637"/>
      <c r="V127" s="637"/>
      <c r="W127" s="637"/>
      <c r="X127" s="637"/>
      <c r="Y127" s="545"/>
      <c r="Z127" s="546" t="s">
        <v>2</v>
      </c>
      <c r="AA127" s="547">
        <v>0</v>
      </c>
      <c r="AB127" s="547">
        <v>0</v>
      </c>
      <c r="AC127" s="548" t="s">
        <v>2</v>
      </c>
      <c r="AD127" s="548" t="s">
        <v>2</v>
      </c>
      <c r="AE127" s="548" t="s">
        <v>2</v>
      </c>
      <c r="AF127" s="548"/>
      <c r="AG127" s="547">
        <v>0</v>
      </c>
      <c r="AH127" s="547">
        <v>0</v>
      </c>
      <c r="AI127" s="547">
        <v>0</v>
      </c>
      <c r="AJ127" s="547">
        <v>0</v>
      </c>
      <c r="AL127" s="550" t="s">
        <v>80</v>
      </c>
      <c r="AM127" s="549"/>
    </row>
    <row r="128" spans="1:39" s="46" customFormat="1" ht="12.75" customHeight="1" x14ac:dyDescent="0.25">
      <c r="A128" s="48"/>
      <c r="B128" s="347"/>
      <c r="C128" s="364"/>
      <c r="D128" s="364"/>
      <c r="E128" s="364"/>
      <c r="F128" s="364"/>
      <c r="G128" s="364"/>
      <c r="H128" s="364"/>
      <c r="I128" s="364"/>
      <c r="J128" s="364"/>
      <c r="K128" s="364"/>
      <c r="L128" s="364"/>
      <c r="M128" s="364"/>
      <c r="N128" s="364"/>
      <c r="O128" s="364"/>
      <c r="P128" s="364"/>
      <c r="Q128" s="615" t="s">
        <v>747</v>
      </c>
      <c r="R128" s="615"/>
      <c r="S128" s="615"/>
      <c r="T128" s="615"/>
      <c r="U128" s="615"/>
      <c r="V128" s="615"/>
      <c r="W128" s="615"/>
      <c r="X128" s="615"/>
      <c r="Y128" s="45"/>
      <c r="Z128" s="386" t="s">
        <v>2</v>
      </c>
      <c r="AA128" s="380">
        <v>0</v>
      </c>
      <c r="AB128" s="380">
        <v>0</v>
      </c>
      <c r="AC128" s="379" t="s">
        <v>2</v>
      </c>
      <c r="AD128" s="379" t="s">
        <v>2</v>
      </c>
      <c r="AE128" s="379" t="s">
        <v>2</v>
      </c>
      <c r="AF128" s="379"/>
      <c r="AG128" s="380">
        <v>0</v>
      </c>
      <c r="AH128" s="380">
        <v>0</v>
      </c>
      <c r="AI128" s="380">
        <v>0</v>
      </c>
      <c r="AJ128" s="380">
        <v>0</v>
      </c>
      <c r="AL128" s="390" t="s">
        <v>721</v>
      </c>
      <c r="AM128" s="1"/>
    </row>
    <row r="129" spans="1:39" s="1" customFormat="1" ht="12.75" customHeight="1" x14ac:dyDescent="0.25">
      <c r="A129" s="369">
        <v>1</v>
      </c>
      <c r="B129" s="402"/>
      <c r="C129" s="612" t="s">
        <v>131</v>
      </c>
      <c r="D129" s="612"/>
      <c r="E129" s="612"/>
      <c r="F129" s="612"/>
      <c r="G129" s="612"/>
      <c r="H129" s="612"/>
      <c r="I129" s="612"/>
      <c r="J129" s="612"/>
      <c r="K129" s="612"/>
      <c r="L129" s="613"/>
      <c r="M129" s="611" t="s">
        <v>238</v>
      </c>
      <c r="N129" s="611"/>
      <c r="O129" s="611"/>
      <c r="P129" s="611"/>
      <c r="Q129" s="580"/>
      <c r="R129" s="580"/>
      <c r="S129" s="580"/>
      <c r="T129" s="580"/>
      <c r="U129" s="580"/>
      <c r="V129" s="580"/>
      <c r="W129" s="580"/>
      <c r="X129" s="580"/>
      <c r="Y129" s="371"/>
      <c r="Z129" s="386">
        <f t="shared" ref="Z129:Z138" si="12">IF(Z$3=0,0,IF(Z$3=1,AA129,IF(Z$3=2,AB129,IF(Z$3=3,AC129,IF(Z$3=4,AD129,IF(Z$3=5,AE129,IF(Z$3=6,AG129,IF(Z$3=7,AH129,IF(Z$3=8,AI129,IF(Z$3=9,AJ129,0))))))))))</f>
        <v>1</v>
      </c>
      <c r="AA129" s="380">
        <v>0</v>
      </c>
      <c r="AB129" s="380">
        <v>0</v>
      </c>
      <c r="AC129" s="379">
        <v>1</v>
      </c>
      <c r="AD129" s="379">
        <v>1</v>
      </c>
      <c r="AE129" s="379">
        <v>1</v>
      </c>
      <c r="AF129" s="379"/>
      <c r="AG129" s="380">
        <v>0</v>
      </c>
      <c r="AH129" s="380">
        <v>0</v>
      </c>
      <c r="AI129" s="380">
        <v>0</v>
      </c>
      <c r="AJ129" s="380">
        <v>0</v>
      </c>
      <c r="AL129" s="366" t="s">
        <v>238</v>
      </c>
    </row>
    <row r="130" spans="1:39" s="1" customFormat="1" ht="12.75" customHeight="1" x14ac:dyDescent="0.25">
      <c r="A130" s="355">
        <f t="shared" ref="A130:A138" si="13">A129+1</f>
        <v>2</v>
      </c>
      <c r="B130" s="402"/>
      <c r="C130" s="612" t="s">
        <v>112</v>
      </c>
      <c r="D130" s="612"/>
      <c r="E130" s="612"/>
      <c r="F130" s="612"/>
      <c r="G130" s="612"/>
      <c r="H130" s="612"/>
      <c r="I130" s="612"/>
      <c r="J130" s="612"/>
      <c r="K130" s="612"/>
      <c r="L130" s="613"/>
      <c r="M130" s="611" t="s">
        <v>238</v>
      </c>
      <c r="N130" s="611"/>
      <c r="O130" s="611"/>
      <c r="P130" s="611"/>
      <c r="Q130" s="580"/>
      <c r="R130" s="580"/>
      <c r="S130" s="580"/>
      <c r="T130" s="580"/>
      <c r="U130" s="580"/>
      <c r="V130" s="580"/>
      <c r="W130" s="580"/>
      <c r="X130" s="580"/>
      <c r="Y130" s="371"/>
      <c r="Z130" s="386">
        <f t="shared" si="12"/>
        <v>1</v>
      </c>
      <c r="AA130" s="380">
        <v>0</v>
      </c>
      <c r="AB130" s="380">
        <v>0</v>
      </c>
      <c r="AC130" s="379">
        <v>0</v>
      </c>
      <c r="AD130" s="379">
        <v>1</v>
      </c>
      <c r="AE130" s="379">
        <v>1</v>
      </c>
      <c r="AF130" s="379"/>
      <c r="AG130" s="380">
        <v>0</v>
      </c>
      <c r="AH130" s="380">
        <v>0</v>
      </c>
      <c r="AI130" s="380">
        <v>0</v>
      </c>
      <c r="AJ130" s="380">
        <v>0</v>
      </c>
      <c r="AL130" s="366" t="s">
        <v>363</v>
      </c>
    </row>
    <row r="131" spans="1:39" s="1" customFormat="1" ht="12.75" customHeight="1" x14ac:dyDescent="0.25">
      <c r="A131" s="355">
        <f t="shared" si="13"/>
        <v>3</v>
      </c>
      <c r="B131" s="402"/>
      <c r="C131" s="612" t="s">
        <v>32</v>
      </c>
      <c r="D131" s="612"/>
      <c r="E131" s="612"/>
      <c r="F131" s="612"/>
      <c r="G131" s="612"/>
      <c r="H131" s="612"/>
      <c r="I131" s="612"/>
      <c r="J131" s="612"/>
      <c r="K131" s="612"/>
      <c r="L131" s="613"/>
      <c r="M131" s="611" t="s">
        <v>238</v>
      </c>
      <c r="N131" s="611"/>
      <c r="O131" s="611"/>
      <c r="P131" s="611"/>
      <c r="Q131" s="580"/>
      <c r="R131" s="580"/>
      <c r="S131" s="580"/>
      <c r="T131" s="580"/>
      <c r="U131" s="580"/>
      <c r="V131" s="580"/>
      <c r="W131" s="580"/>
      <c r="X131" s="580"/>
      <c r="Y131" s="371"/>
      <c r="Z131" s="386">
        <f t="shared" si="12"/>
        <v>1</v>
      </c>
      <c r="AA131" s="380">
        <v>0</v>
      </c>
      <c r="AB131" s="380">
        <v>0</v>
      </c>
      <c r="AC131" s="379">
        <v>0</v>
      </c>
      <c r="AD131" s="379">
        <v>1</v>
      </c>
      <c r="AE131" s="379">
        <v>1</v>
      </c>
      <c r="AF131" s="379"/>
      <c r="AG131" s="380">
        <v>0</v>
      </c>
      <c r="AH131" s="380">
        <v>0</v>
      </c>
      <c r="AI131" s="380">
        <v>0</v>
      </c>
      <c r="AJ131" s="380">
        <v>0</v>
      </c>
      <c r="AL131" s="366" t="s">
        <v>149</v>
      </c>
    </row>
    <row r="132" spans="1:39" s="1" customFormat="1" ht="12.75" customHeight="1" x14ac:dyDescent="0.25">
      <c r="A132" s="355">
        <f t="shared" si="13"/>
        <v>4</v>
      </c>
      <c r="B132" s="402"/>
      <c r="C132" s="612" t="s">
        <v>151</v>
      </c>
      <c r="D132" s="612"/>
      <c r="E132" s="612"/>
      <c r="F132" s="612"/>
      <c r="G132" s="612"/>
      <c r="H132" s="612"/>
      <c r="I132" s="612"/>
      <c r="J132" s="612"/>
      <c r="K132" s="612"/>
      <c r="L132" s="613"/>
      <c r="M132" s="611" t="s">
        <v>238</v>
      </c>
      <c r="N132" s="611"/>
      <c r="O132" s="611"/>
      <c r="P132" s="611"/>
      <c r="Q132" s="580"/>
      <c r="R132" s="580"/>
      <c r="S132" s="580"/>
      <c r="T132" s="580"/>
      <c r="U132" s="580"/>
      <c r="V132" s="580"/>
      <c r="W132" s="580"/>
      <c r="X132" s="580"/>
      <c r="Y132" s="371"/>
      <c r="Z132" s="386">
        <f t="shared" si="12"/>
        <v>1</v>
      </c>
      <c r="AA132" s="380">
        <v>0</v>
      </c>
      <c r="AB132" s="380">
        <v>0</v>
      </c>
      <c r="AC132" s="379">
        <v>0</v>
      </c>
      <c r="AD132" s="379">
        <v>1</v>
      </c>
      <c r="AE132" s="379">
        <v>1</v>
      </c>
      <c r="AF132" s="379"/>
      <c r="AG132" s="380">
        <v>0</v>
      </c>
      <c r="AH132" s="380">
        <v>0</v>
      </c>
      <c r="AI132" s="380">
        <v>0</v>
      </c>
      <c r="AJ132" s="380">
        <v>0</v>
      </c>
      <c r="AL132" s="390" t="s">
        <v>721</v>
      </c>
    </row>
    <row r="133" spans="1:39" s="1" customFormat="1" ht="12.75" customHeight="1" x14ac:dyDescent="0.25">
      <c r="A133" s="369">
        <f t="shared" si="13"/>
        <v>5</v>
      </c>
      <c r="B133" s="402"/>
      <c r="C133" s="612" t="s">
        <v>336</v>
      </c>
      <c r="D133" s="612"/>
      <c r="E133" s="612"/>
      <c r="F133" s="612"/>
      <c r="G133" s="612"/>
      <c r="H133" s="612"/>
      <c r="I133" s="612"/>
      <c r="J133" s="612"/>
      <c r="K133" s="612"/>
      <c r="L133" s="613"/>
      <c r="M133" s="611" t="s">
        <v>238</v>
      </c>
      <c r="N133" s="611"/>
      <c r="O133" s="611"/>
      <c r="P133" s="611"/>
      <c r="Q133" s="580"/>
      <c r="R133" s="580"/>
      <c r="S133" s="580"/>
      <c r="T133" s="580"/>
      <c r="U133" s="580"/>
      <c r="V133" s="580"/>
      <c r="W133" s="580"/>
      <c r="X133" s="580"/>
      <c r="Y133" s="371"/>
      <c r="Z133" s="386">
        <f t="shared" si="12"/>
        <v>1</v>
      </c>
      <c r="AA133" s="380">
        <v>0</v>
      </c>
      <c r="AB133" s="380">
        <v>0</v>
      </c>
      <c r="AC133" s="379">
        <v>1</v>
      </c>
      <c r="AD133" s="379">
        <v>1</v>
      </c>
      <c r="AE133" s="379">
        <v>1</v>
      </c>
      <c r="AF133" s="379"/>
      <c r="AG133" s="380">
        <v>0</v>
      </c>
      <c r="AH133" s="380">
        <v>0</v>
      </c>
      <c r="AI133" s="380">
        <v>0</v>
      </c>
      <c r="AJ133" s="380">
        <v>0</v>
      </c>
      <c r="AL133" s="366" t="s">
        <v>238</v>
      </c>
    </row>
    <row r="134" spans="1:39" s="1" customFormat="1" ht="12.75" customHeight="1" x14ac:dyDescent="0.25">
      <c r="A134" s="369">
        <f t="shared" si="13"/>
        <v>6</v>
      </c>
      <c r="B134" s="402"/>
      <c r="C134" s="612" t="s">
        <v>337</v>
      </c>
      <c r="D134" s="612"/>
      <c r="E134" s="612"/>
      <c r="F134" s="612"/>
      <c r="G134" s="612"/>
      <c r="H134" s="612"/>
      <c r="I134" s="612"/>
      <c r="J134" s="612"/>
      <c r="K134" s="612"/>
      <c r="L134" s="613"/>
      <c r="M134" s="611" t="s">
        <v>238</v>
      </c>
      <c r="N134" s="611"/>
      <c r="O134" s="611"/>
      <c r="P134" s="611"/>
      <c r="Q134" s="580"/>
      <c r="R134" s="580"/>
      <c r="S134" s="580"/>
      <c r="T134" s="580"/>
      <c r="U134" s="580"/>
      <c r="V134" s="580"/>
      <c r="W134" s="580"/>
      <c r="X134" s="580"/>
      <c r="Y134" s="371"/>
      <c r="Z134" s="386">
        <f t="shared" si="12"/>
        <v>1</v>
      </c>
      <c r="AA134" s="380">
        <v>0</v>
      </c>
      <c r="AB134" s="380">
        <v>0</v>
      </c>
      <c r="AC134" s="379">
        <v>1</v>
      </c>
      <c r="AD134" s="379">
        <v>1</v>
      </c>
      <c r="AE134" s="379">
        <v>1</v>
      </c>
      <c r="AF134" s="379"/>
      <c r="AG134" s="380">
        <v>0</v>
      </c>
      <c r="AH134" s="380">
        <v>0</v>
      </c>
      <c r="AI134" s="380">
        <v>0</v>
      </c>
      <c r="AJ134" s="380">
        <v>0</v>
      </c>
      <c r="AL134" s="366" t="s">
        <v>147</v>
      </c>
    </row>
    <row r="135" spans="1:39" s="1" customFormat="1" ht="12.75" customHeight="1" x14ac:dyDescent="0.25">
      <c r="A135" s="369">
        <f t="shared" si="13"/>
        <v>7</v>
      </c>
      <c r="B135" s="402"/>
      <c r="C135" s="612" t="s">
        <v>140</v>
      </c>
      <c r="D135" s="612"/>
      <c r="E135" s="612"/>
      <c r="F135" s="612"/>
      <c r="G135" s="612"/>
      <c r="H135" s="612"/>
      <c r="I135" s="612"/>
      <c r="J135" s="612"/>
      <c r="K135" s="612"/>
      <c r="L135" s="613"/>
      <c r="M135" s="611" t="s">
        <v>238</v>
      </c>
      <c r="N135" s="611"/>
      <c r="O135" s="611"/>
      <c r="P135" s="611"/>
      <c r="Q135" s="580"/>
      <c r="R135" s="580"/>
      <c r="S135" s="580"/>
      <c r="T135" s="580"/>
      <c r="U135" s="580"/>
      <c r="V135" s="580"/>
      <c r="W135" s="580"/>
      <c r="X135" s="580"/>
      <c r="Y135" s="371"/>
      <c r="Z135" s="386">
        <f t="shared" si="12"/>
        <v>1</v>
      </c>
      <c r="AA135" s="380">
        <v>0</v>
      </c>
      <c r="AB135" s="380">
        <v>0</v>
      </c>
      <c r="AC135" s="379">
        <v>1</v>
      </c>
      <c r="AD135" s="379">
        <v>1</v>
      </c>
      <c r="AE135" s="379">
        <v>1</v>
      </c>
      <c r="AF135" s="379"/>
      <c r="AG135" s="380">
        <v>0</v>
      </c>
      <c r="AH135" s="380">
        <v>0</v>
      </c>
      <c r="AI135" s="380">
        <v>0</v>
      </c>
      <c r="AJ135" s="380">
        <v>0</v>
      </c>
      <c r="AL135" s="366" t="s">
        <v>146</v>
      </c>
    </row>
    <row r="136" spans="1:39" s="1" customFormat="1" ht="12.75" customHeight="1" x14ac:dyDescent="0.25">
      <c r="A136" s="355">
        <f t="shared" si="13"/>
        <v>8</v>
      </c>
      <c r="B136" s="402"/>
      <c r="C136" s="612" t="s">
        <v>150</v>
      </c>
      <c r="D136" s="612"/>
      <c r="E136" s="612"/>
      <c r="F136" s="612"/>
      <c r="G136" s="612"/>
      <c r="H136" s="612"/>
      <c r="I136" s="612"/>
      <c r="J136" s="612"/>
      <c r="K136" s="612"/>
      <c r="L136" s="613"/>
      <c r="M136" s="632"/>
      <c r="N136" s="633"/>
      <c r="O136" s="634" t="s">
        <v>310</v>
      </c>
      <c r="P136" s="635"/>
      <c r="Q136" s="635"/>
      <c r="R136" s="635"/>
      <c r="S136" s="635"/>
      <c r="T136" s="635"/>
      <c r="U136" s="635"/>
      <c r="V136" s="636"/>
      <c r="W136" s="632"/>
      <c r="X136" s="633"/>
      <c r="Y136" s="371"/>
      <c r="Z136" s="386">
        <f t="shared" si="12"/>
        <v>1</v>
      </c>
      <c r="AA136" s="380">
        <v>0</v>
      </c>
      <c r="AB136" s="380">
        <v>0</v>
      </c>
      <c r="AC136" s="379">
        <v>0</v>
      </c>
      <c r="AD136" s="379">
        <v>1</v>
      </c>
      <c r="AE136" s="379">
        <v>1</v>
      </c>
      <c r="AF136" s="379"/>
      <c r="AG136" s="380">
        <v>0</v>
      </c>
      <c r="AH136" s="380">
        <v>0</v>
      </c>
      <c r="AI136" s="380">
        <v>0</v>
      </c>
      <c r="AJ136" s="380">
        <v>0</v>
      </c>
      <c r="AL136" s="390" t="s">
        <v>721</v>
      </c>
    </row>
    <row r="137" spans="1:39" s="1" customFormat="1" ht="12.75" customHeight="1" x14ac:dyDescent="0.25">
      <c r="A137" s="369">
        <f t="shared" si="13"/>
        <v>9</v>
      </c>
      <c r="B137" s="402"/>
      <c r="C137" s="612" t="s">
        <v>338</v>
      </c>
      <c r="D137" s="612"/>
      <c r="E137" s="612"/>
      <c r="F137" s="612"/>
      <c r="G137" s="612"/>
      <c r="H137" s="612"/>
      <c r="I137" s="612"/>
      <c r="J137" s="612"/>
      <c r="K137" s="612"/>
      <c r="L137" s="612"/>
      <c r="M137" s="582" t="s">
        <v>312</v>
      </c>
      <c r="N137" s="583"/>
      <c r="O137" s="951">
        <f>Q49</f>
        <v>0</v>
      </c>
      <c r="P137" s="952"/>
      <c r="Q137" s="581" t="s">
        <v>74</v>
      </c>
      <c r="R137" s="582"/>
      <c r="S137" s="582"/>
      <c r="T137" s="583"/>
      <c r="U137" s="717">
        <f>Q48</f>
        <v>0</v>
      </c>
      <c r="V137" s="718"/>
      <c r="W137" s="598"/>
      <c r="X137" s="599"/>
      <c r="Y137" s="371"/>
      <c r="Z137" s="386">
        <f t="shared" si="12"/>
        <v>1</v>
      </c>
      <c r="AA137" s="380">
        <v>0</v>
      </c>
      <c r="AB137" s="380">
        <v>0</v>
      </c>
      <c r="AC137" s="379">
        <v>1</v>
      </c>
      <c r="AD137" s="379">
        <v>1</v>
      </c>
      <c r="AE137" s="379">
        <v>1</v>
      </c>
      <c r="AF137" s="379"/>
      <c r="AG137" s="380">
        <v>0</v>
      </c>
      <c r="AH137" s="380">
        <v>0</v>
      </c>
      <c r="AI137" s="380">
        <v>0</v>
      </c>
      <c r="AJ137" s="380">
        <v>0</v>
      </c>
      <c r="AL137" s="366" t="s">
        <v>238</v>
      </c>
    </row>
    <row r="138" spans="1:39" s="1" customFormat="1" ht="12.75" customHeight="1" x14ac:dyDescent="0.25">
      <c r="A138" s="369">
        <f t="shared" si="13"/>
        <v>10</v>
      </c>
      <c r="B138" s="402"/>
      <c r="C138" s="612" t="s">
        <v>339</v>
      </c>
      <c r="D138" s="612"/>
      <c r="E138" s="612"/>
      <c r="F138" s="612"/>
      <c r="G138" s="612"/>
      <c r="H138" s="612"/>
      <c r="I138" s="612"/>
      <c r="J138" s="612"/>
      <c r="K138" s="612"/>
      <c r="L138" s="612"/>
      <c r="M138" s="582" t="s">
        <v>312</v>
      </c>
      <c r="N138" s="583"/>
      <c r="O138" s="763">
        <f>S49</f>
        <v>0</v>
      </c>
      <c r="P138" s="764"/>
      <c r="Q138" s="581" t="s">
        <v>74</v>
      </c>
      <c r="R138" s="582"/>
      <c r="S138" s="582"/>
      <c r="T138" s="583"/>
      <c r="U138" s="765">
        <f>S48</f>
        <v>0</v>
      </c>
      <c r="V138" s="766"/>
      <c r="W138" s="598"/>
      <c r="X138" s="599"/>
      <c r="Y138" s="371"/>
      <c r="Z138" s="386">
        <f t="shared" si="12"/>
        <v>1</v>
      </c>
      <c r="AA138" s="380">
        <v>0</v>
      </c>
      <c r="AB138" s="380">
        <v>0</v>
      </c>
      <c r="AC138" s="379">
        <v>1</v>
      </c>
      <c r="AD138" s="379">
        <v>1</v>
      </c>
      <c r="AE138" s="379">
        <v>1</v>
      </c>
      <c r="AF138" s="379"/>
      <c r="AG138" s="380">
        <v>0</v>
      </c>
      <c r="AH138" s="380">
        <v>0</v>
      </c>
      <c r="AI138" s="380">
        <v>0</v>
      </c>
      <c r="AJ138" s="380">
        <v>0</v>
      </c>
      <c r="AL138" s="366" t="s">
        <v>147</v>
      </c>
    </row>
    <row r="139" spans="1:39" s="1" customFormat="1" ht="12.75" customHeight="1" x14ac:dyDescent="0.25">
      <c r="A139" s="369"/>
      <c r="B139" s="371"/>
      <c r="C139" s="626"/>
      <c r="D139" s="626"/>
      <c r="E139" s="626"/>
      <c r="F139" s="626"/>
      <c r="G139" s="626"/>
      <c r="H139" s="626"/>
      <c r="I139" s="626"/>
      <c r="J139" s="626"/>
      <c r="K139" s="626"/>
      <c r="L139" s="626"/>
      <c r="M139" s="626"/>
      <c r="N139" s="626"/>
      <c r="O139" s="626"/>
      <c r="P139" s="626"/>
      <c r="Q139" s="626"/>
      <c r="R139" s="626"/>
      <c r="S139" s="626"/>
      <c r="T139" s="626"/>
      <c r="U139" s="626"/>
      <c r="V139" s="626"/>
      <c r="W139" s="626"/>
      <c r="X139" s="626"/>
      <c r="Y139" s="371"/>
      <c r="Z139" s="386" t="s">
        <v>2</v>
      </c>
      <c r="AA139" s="380">
        <v>0</v>
      </c>
      <c r="AB139" s="380" t="s">
        <v>2</v>
      </c>
      <c r="AC139" s="379" t="s">
        <v>2</v>
      </c>
      <c r="AD139" s="379" t="s">
        <v>2</v>
      </c>
      <c r="AE139" s="379" t="s">
        <v>2</v>
      </c>
      <c r="AF139" s="379"/>
      <c r="AG139" s="380" t="s">
        <v>2</v>
      </c>
      <c r="AH139" s="380" t="s">
        <v>2</v>
      </c>
      <c r="AI139" s="380" t="s">
        <v>2</v>
      </c>
      <c r="AJ139" s="380" t="s">
        <v>2</v>
      </c>
      <c r="AL139" s="366" t="s">
        <v>748</v>
      </c>
    </row>
    <row r="140" spans="1:39" s="543" customFormat="1" ht="12.75" customHeight="1" x14ac:dyDescent="0.25">
      <c r="A140" s="540"/>
      <c r="B140" s="541" t="s">
        <v>702</v>
      </c>
      <c r="C140" s="637" t="s">
        <v>33</v>
      </c>
      <c r="D140" s="637"/>
      <c r="E140" s="637"/>
      <c r="F140" s="637"/>
      <c r="G140" s="637"/>
      <c r="H140" s="637"/>
      <c r="I140" s="637"/>
      <c r="J140" s="637"/>
      <c r="K140" s="637"/>
      <c r="L140" s="637"/>
      <c r="M140" s="637"/>
      <c r="N140" s="637"/>
      <c r="O140" s="637"/>
      <c r="P140" s="637"/>
      <c r="Q140" s="637"/>
      <c r="R140" s="637"/>
      <c r="S140" s="637"/>
      <c r="T140" s="637"/>
      <c r="U140" s="637"/>
      <c r="V140" s="637"/>
      <c r="W140" s="637"/>
      <c r="X140" s="637"/>
      <c r="Y140" s="545"/>
      <c r="Z140" s="546" t="s">
        <v>2</v>
      </c>
      <c r="AA140" s="547">
        <v>0</v>
      </c>
      <c r="AB140" s="547" t="s">
        <v>2</v>
      </c>
      <c r="AC140" s="548" t="s">
        <v>2</v>
      </c>
      <c r="AD140" s="548" t="s">
        <v>2</v>
      </c>
      <c r="AE140" s="548" t="s">
        <v>2</v>
      </c>
      <c r="AF140" s="548"/>
      <c r="AG140" s="547" t="s">
        <v>2</v>
      </c>
      <c r="AH140" s="547" t="s">
        <v>2</v>
      </c>
      <c r="AI140" s="547" t="s">
        <v>2</v>
      </c>
      <c r="AJ140" s="547" t="s">
        <v>2</v>
      </c>
      <c r="AL140" s="558" t="s">
        <v>721</v>
      </c>
      <c r="AM140" s="549"/>
    </row>
    <row r="141" spans="1:39" s="46" customFormat="1" ht="12.75" customHeight="1" x14ac:dyDescent="0.25">
      <c r="A141" s="48"/>
      <c r="B141" s="347"/>
      <c r="C141" s="364"/>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45"/>
      <c r="Z141" s="386" t="s">
        <v>2</v>
      </c>
      <c r="AA141" s="380">
        <v>0</v>
      </c>
      <c r="AB141" s="380" t="s">
        <v>2</v>
      </c>
      <c r="AC141" s="379" t="s">
        <v>2</v>
      </c>
      <c r="AD141" s="379" t="s">
        <v>2</v>
      </c>
      <c r="AE141" s="379" t="s">
        <v>2</v>
      </c>
      <c r="AF141" s="379"/>
      <c r="AG141" s="380" t="s">
        <v>2</v>
      </c>
      <c r="AH141" s="380" t="s">
        <v>2</v>
      </c>
      <c r="AI141" s="380" t="s">
        <v>2</v>
      </c>
      <c r="AJ141" s="380" t="s">
        <v>2</v>
      </c>
      <c r="AL141" s="390" t="s">
        <v>238</v>
      </c>
      <c r="AM141" s="1"/>
    </row>
    <row r="142" spans="1:39" s="1" customFormat="1" ht="12.75" customHeight="1" x14ac:dyDescent="0.25">
      <c r="A142" s="369">
        <v>1</v>
      </c>
      <c r="B142" s="402"/>
      <c r="C142" s="612" t="s">
        <v>100</v>
      </c>
      <c r="D142" s="612"/>
      <c r="E142" s="612"/>
      <c r="F142" s="612"/>
      <c r="G142" s="612"/>
      <c r="H142" s="612"/>
      <c r="I142" s="612"/>
      <c r="J142" s="612"/>
      <c r="K142" s="612"/>
      <c r="L142" s="613"/>
      <c r="M142" s="730">
        <f>I41</f>
        <v>0</v>
      </c>
      <c r="N142" s="730"/>
      <c r="O142" s="730"/>
      <c r="P142" s="730"/>
      <c r="Q142" s="730"/>
      <c r="R142" s="730"/>
      <c r="S142" s="730"/>
      <c r="T142" s="730"/>
      <c r="U142" s="598"/>
      <c r="V142" s="599"/>
      <c r="W142" s="599"/>
      <c r="X142" s="599"/>
      <c r="Y142" s="371"/>
      <c r="Z142" s="386">
        <f t="shared" ref="Z142:Z176" si="14">IF(Z$3=0,0,IF(Z$3=1,AA142,IF(Z$3=2,AB142,IF(Z$3=3,AC142,IF(Z$3=4,AD142,IF(Z$3=5,AE142,IF(Z$3=6,AG142,IF(Z$3=7,AH142,IF(Z$3=8,AI142,IF(Z$3=9,AJ142,0))))))))))</f>
        <v>1</v>
      </c>
      <c r="AA142" s="380">
        <v>0</v>
      </c>
      <c r="AB142" s="380">
        <v>0</v>
      </c>
      <c r="AC142" s="379">
        <v>1</v>
      </c>
      <c r="AD142" s="379">
        <v>1</v>
      </c>
      <c r="AE142" s="379">
        <v>1</v>
      </c>
      <c r="AF142" s="379"/>
      <c r="AG142" s="380">
        <v>0</v>
      </c>
      <c r="AH142" s="380">
        <v>0</v>
      </c>
      <c r="AI142" s="380">
        <v>0</v>
      </c>
      <c r="AJ142" s="380">
        <v>0</v>
      </c>
      <c r="AL142" s="366" t="s">
        <v>205</v>
      </c>
    </row>
    <row r="143" spans="1:39" s="1" customFormat="1" ht="12.75" customHeight="1" x14ac:dyDescent="0.25">
      <c r="A143" s="369">
        <f>A142+1</f>
        <v>2</v>
      </c>
      <c r="B143" s="402"/>
      <c r="C143" s="612" t="s">
        <v>34</v>
      </c>
      <c r="D143" s="612"/>
      <c r="E143" s="612"/>
      <c r="F143" s="612"/>
      <c r="G143" s="612"/>
      <c r="H143" s="612"/>
      <c r="I143" s="612"/>
      <c r="J143" s="612"/>
      <c r="K143" s="612"/>
      <c r="L143" s="613"/>
      <c r="M143" s="730">
        <f>M41</f>
        <v>0</v>
      </c>
      <c r="N143" s="730"/>
      <c r="O143" s="730"/>
      <c r="P143" s="730"/>
      <c r="Q143" s="730"/>
      <c r="R143" s="730"/>
      <c r="S143" s="730"/>
      <c r="T143" s="730"/>
      <c r="U143" s="598"/>
      <c r="V143" s="599"/>
      <c r="W143" s="599"/>
      <c r="X143" s="599"/>
      <c r="Y143" s="371"/>
      <c r="Z143" s="386">
        <f t="shared" si="14"/>
        <v>1</v>
      </c>
      <c r="AA143" s="380">
        <v>0</v>
      </c>
      <c r="AB143" s="380">
        <v>0</v>
      </c>
      <c r="AC143" s="379">
        <v>1</v>
      </c>
      <c r="AD143" s="379">
        <v>1</v>
      </c>
      <c r="AE143" s="379">
        <v>1</v>
      </c>
      <c r="AF143" s="379"/>
      <c r="AG143" s="380">
        <v>0</v>
      </c>
      <c r="AH143" s="380">
        <v>0</v>
      </c>
      <c r="AI143" s="380">
        <v>0</v>
      </c>
      <c r="AJ143" s="380">
        <v>0</v>
      </c>
      <c r="AL143" s="366" t="s">
        <v>749</v>
      </c>
    </row>
    <row r="144" spans="1:39" s="1" customFormat="1" ht="12.75" customHeight="1" x14ac:dyDescent="0.25">
      <c r="A144" s="369">
        <f t="shared" ref="A144:A176" si="15">A143+1</f>
        <v>3</v>
      </c>
      <c r="B144" s="402"/>
      <c r="C144" s="612" t="s">
        <v>360</v>
      </c>
      <c r="D144" s="612"/>
      <c r="E144" s="612"/>
      <c r="F144" s="612"/>
      <c r="G144" s="612"/>
      <c r="H144" s="612"/>
      <c r="I144" s="612"/>
      <c r="J144" s="612"/>
      <c r="K144" s="612"/>
      <c r="L144" s="613"/>
      <c r="M144" s="730">
        <f>P41</f>
        <v>0</v>
      </c>
      <c r="N144" s="730"/>
      <c r="O144" s="730"/>
      <c r="P144" s="730"/>
      <c r="Q144" s="730"/>
      <c r="R144" s="730"/>
      <c r="S144" s="730"/>
      <c r="T144" s="730"/>
      <c r="U144" s="598"/>
      <c r="V144" s="599"/>
      <c r="W144" s="599"/>
      <c r="X144" s="599"/>
      <c r="Y144" s="371"/>
      <c r="Z144" s="386">
        <f t="shared" si="14"/>
        <v>1</v>
      </c>
      <c r="AA144" s="380">
        <v>0</v>
      </c>
      <c r="AB144" s="380">
        <v>0</v>
      </c>
      <c r="AC144" s="379">
        <v>1</v>
      </c>
      <c r="AD144" s="379">
        <v>1</v>
      </c>
      <c r="AE144" s="379">
        <v>1</v>
      </c>
      <c r="AF144" s="379"/>
      <c r="AG144" s="380">
        <v>0</v>
      </c>
      <c r="AH144" s="380">
        <v>0</v>
      </c>
      <c r="AI144" s="380">
        <v>0</v>
      </c>
      <c r="AJ144" s="380">
        <v>0</v>
      </c>
      <c r="AL144" s="390" t="s">
        <v>721</v>
      </c>
    </row>
    <row r="145" spans="1:38" s="1" customFormat="1" ht="12.75" customHeight="1" x14ac:dyDescent="0.25">
      <c r="A145" s="355">
        <f t="shared" si="15"/>
        <v>4</v>
      </c>
      <c r="B145" s="402"/>
      <c r="C145" s="615" t="s">
        <v>359</v>
      </c>
      <c r="D145" s="615"/>
      <c r="E145" s="615"/>
      <c r="F145" s="615"/>
      <c r="G145" s="615"/>
      <c r="H145" s="615"/>
      <c r="I145" s="615"/>
      <c r="J145" s="615"/>
      <c r="K145" s="615"/>
      <c r="L145" s="613"/>
      <c r="M145" s="728"/>
      <c r="N145" s="728"/>
      <c r="O145" s="728"/>
      <c r="P145" s="728"/>
      <c r="Q145" s="728"/>
      <c r="R145" s="728"/>
      <c r="S145" s="728"/>
      <c r="T145" s="728"/>
      <c r="U145" s="360"/>
      <c r="V145" s="2"/>
      <c r="W145" s="2"/>
      <c r="X145" s="2"/>
      <c r="Y145" s="371"/>
      <c r="Z145" s="386">
        <f t="shared" si="14"/>
        <v>1</v>
      </c>
      <c r="AA145" s="380">
        <v>0</v>
      </c>
      <c r="AB145" s="380">
        <v>0</v>
      </c>
      <c r="AC145" s="380">
        <v>0</v>
      </c>
      <c r="AD145" s="379">
        <v>1</v>
      </c>
      <c r="AE145" s="379">
        <v>1</v>
      </c>
      <c r="AF145" s="379"/>
      <c r="AG145" s="380">
        <v>0</v>
      </c>
      <c r="AH145" s="380">
        <v>0</v>
      </c>
      <c r="AI145" s="380">
        <v>0</v>
      </c>
      <c r="AJ145" s="380">
        <v>0</v>
      </c>
      <c r="AL145" s="366" t="s">
        <v>238</v>
      </c>
    </row>
    <row r="146" spans="1:38" s="1" customFormat="1" ht="12.75" customHeight="1" x14ac:dyDescent="0.25">
      <c r="A146" s="355">
        <f t="shared" si="15"/>
        <v>5</v>
      </c>
      <c r="B146" s="402"/>
      <c r="C146" s="615" t="s">
        <v>386</v>
      </c>
      <c r="D146" s="615"/>
      <c r="E146" s="615"/>
      <c r="F146" s="615"/>
      <c r="G146" s="615"/>
      <c r="H146" s="615"/>
      <c r="I146" s="615"/>
      <c r="J146" s="615"/>
      <c r="K146" s="615"/>
      <c r="L146" s="613"/>
      <c r="M146" s="728"/>
      <c r="N146" s="728"/>
      <c r="O146" s="728"/>
      <c r="P146" s="728"/>
      <c r="Q146" s="728"/>
      <c r="R146" s="728"/>
      <c r="S146" s="728"/>
      <c r="T146" s="728"/>
      <c r="U146" s="360"/>
      <c r="V146" s="2"/>
      <c r="W146" s="2"/>
      <c r="X146" s="2"/>
      <c r="Y146" s="371"/>
      <c r="Z146" s="386">
        <f t="shared" si="14"/>
        <v>1</v>
      </c>
      <c r="AA146" s="380">
        <v>0</v>
      </c>
      <c r="AB146" s="380">
        <v>0</v>
      </c>
      <c r="AC146" s="380">
        <v>0</v>
      </c>
      <c r="AD146" s="379">
        <v>1</v>
      </c>
      <c r="AE146" s="379">
        <v>1</v>
      </c>
      <c r="AF146" s="379"/>
      <c r="AG146" s="380">
        <v>0</v>
      </c>
      <c r="AH146" s="380">
        <v>0</v>
      </c>
      <c r="AI146" s="380">
        <v>0</v>
      </c>
      <c r="AJ146" s="380">
        <v>0</v>
      </c>
      <c r="AL146" s="366" t="s">
        <v>203</v>
      </c>
    </row>
    <row r="147" spans="1:38" s="1" customFormat="1" ht="12.75" customHeight="1" x14ac:dyDescent="0.25">
      <c r="A147" s="355">
        <f t="shared" si="15"/>
        <v>6</v>
      </c>
      <c r="B147" s="402"/>
      <c r="C147" s="615" t="s">
        <v>101</v>
      </c>
      <c r="D147" s="615"/>
      <c r="E147" s="615"/>
      <c r="F147" s="615"/>
      <c r="G147" s="615"/>
      <c r="H147" s="615"/>
      <c r="I147" s="615"/>
      <c r="J147" s="615"/>
      <c r="K147" s="615"/>
      <c r="L147" s="613"/>
      <c r="M147" s="729" t="s">
        <v>751</v>
      </c>
      <c r="N147" s="729"/>
      <c r="O147" s="729"/>
      <c r="P147" s="729"/>
      <c r="Q147" s="729"/>
      <c r="R147" s="729"/>
      <c r="S147" s="729"/>
      <c r="T147" s="729"/>
      <c r="U147" s="598"/>
      <c r="V147" s="599"/>
      <c r="W147" s="599"/>
      <c r="X147" s="599"/>
      <c r="Y147" s="371"/>
      <c r="Z147" s="386">
        <f t="shared" si="14"/>
        <v>1</v>
      </c>
      <c r="AA147" s="380">
        <v>0</v>
      </c>
      <c r="AB147" s="380">
        <v>0</v>
      </c>
      <c r="AC147" s="380">
        <v>0</v>
      </c>
      <c r="AD147" s="379">
        <v>0</v>
      </c>
      <c r="AE147" s="379">
        <v>1</v>
      </c>
      <c r="AF147" s="379"/>
      <c r="AG147" s="380">
        <v>0</v>
      </c>
      <c r="AH147" s="380">
        <v>0</v>
      </c>
      <c r="AI147" s="380">
        <v>0</v>
      </c>
      <c r="AJ147" s="380">
        <v>0</v>
      </c>
      <c r="AL147" s="366" t="s">
        <v>204</v>
      </c>
    </row>
    <row r="148" spans="1:38" s="1" customFormat="1" ht="12.75" customHeight="1" x14ac:dyDescent="0.25">
      <c r="A148" s="369">
        <f t="shared" si="15"/>
        <v>7</v>
      </c>
      <c r="B148" s="402"/>
      <c r="C148" s="615" t="s">
        <v>134</v>
      </c>
      <c r="D148" s="615"/>
      <c r="E148" s="615"/>
      <c r="F148" s="615"/>
      <c r="G148" s="615"/>
      <c r="H148" s="615"/>
      <c r="I148" s="615"/>
      <c r="J148" s="615"/>
      <c r="K148" s="615"/>
      <c r="L148" s="613"/>
      <c r="M148" s="751">
        <f>U41</f>
        <v>0</v>
      </c>
      <c r="N148" s="752"/>
      <c r="O148" s="598"/>
      <c r="P148" s="599"/>
      <c r="Q148" s="599"/>
      <c r="R148" s="599"/>
      <c r="S148" s="599"/>
      <c r="T148" s="599"/>
      <c r="U148" s="599"/>
      <c r="V148" s="599"/>
      <c r="W148" s="599"/>
      <c r="X148" s="599"/>
      <c r="Y148" s="371"/>
      <c r="Z148" s="386">
        <f t="shared" si="14"/>
        <v>1</v>
      </c>
      <c r="AA148" s="380">
        <v>0</v>
      </c>
      <c r="AB148" s="380">
        <v>1</v>
      </c>
      <c r="AC148" s="379">
        <v>1</v>
      </c>
      <c r="AD148" s="379">
        <v>1</v>
      </c>
      <c r="AE148" s="379">
        <v>1</v>
      </c>
      <c r="AF148" s="379"/>
      <c r="AG148" s="380">
        <v>0</v>
      </c>
      <c r="AH148" s="380">
        <v>0</v>
      </c>
      <c r="AI148" s="380">
        <v>0</v>
      </c>
      <c r="AJ148" s="380">
        <v>0</v>
      </c>
      <c r="AL148" s="390" t="s">
        <v>721</v>
      </c>
    </row>
    <row r="149" spans="1:38" s="1" customFormat="1" ht="12.75" customHeight="1" x14ac:dyDescent="0.25">
      <c r="A149" s="355">
        <f t="shared" si="15"/>
        <v>8</v>
      </c>
      <c r="B149" s="402"/>
      <c r="C149" s="612" t="s">
        <v>460</v>
      </c>
      <c r="D149" s="612"/>
      <c r="E149" s="612"/>
      <c r="F149" s="612"/>
      <c r="G149" s="612"/>
      <c r="H149" s="612"/>
      <c r="I149" s="612"/>
      <c r="J149" s="612"/>
      <c r="K149" s="612"/>
      <c r="L149" s="613"/>
      <c r="M149" s="753"/>
      <c r="N149" s="754"/>
      <c r="O149" s="581" t="s">
        <v>299</v>
      </c>
      <c r="P149" s="583"/>
      <c r="Q149" s="674"/>
      <c r="R149" s="656"/>
      <c r="S149" s="581" t="s">
        <v>300</v>
      </c>
      <c r="T149" s="583"/>
      <c r="U149" s="674"/>
      <c r="V149" s="656"/>
      <c r="W149" s="710"/>
      <c r="X149" s="721"/>
      <c r="Y149" s="371"/>
      <c r="Z149" s="386">
        <f t="shared" si="14"/>
        <v>1</v>
      </c>
      <c r="AA149" s="380">
        <v>0</v>
      </c>
      <c r="AB149" s="380">
        <v>0</v>
      </c>
      <c r="AC149" s="379">
        <v>0</v>
      </c>
      <c r="AD149" s="379">
        <v>1</v>
      </c>
      <c r="AE149" s="379">
        <v>1</v>
      </c>
      <c r="AF149" s="379"/>
      <c r="AG149" s="380">
        <v>0</v>
      </c>
      <c r="AH149" s="380">
        <v>0</v>
      </c>
      <c r="AI149" s="380">
        <v>0</v>
      </c>
      <c r="AJ149" s="380">
        <v>0</v>
      </c>
      <c r="AL149" s="366" t="s">
        <v>238</v>
      </c>
    </row>
    <row r="150" spans="1:38" s="1" customFormat="1" ht="12.75" customHeight="1" x14ac:dyDescent="0.25">
      <c r="A150" s="369">
        <f t="shared" si="15"/>
        <v>9</v>
      </c>
      <c r="B150" s="402"/>
      <c r="C150" s="615" t="s">
        <v>145</v>
      </c>
      <c r="D150" s="615"/>
      <c r="E150" s="615"/>
      <c r="F150" s="615"/>
      <c r="G150" s="615"/>
      <c r="H150" s="615"/>
      <c r="I150" s="615"/>
      <c r="J150" s="615"/>
      <c r="K150" s="615"/>
      <c r="L150" s="613"/>
      <c r="M150" s="712">
        <f>O44</f>
        <v>0</v>
      </c>
      <c r="N150" s="713"/>
      <c r="O150" s="581" t="s">
        <v>95</v>
      </c>
      <c r="P150" s="582"/>
      <c r="Q150" s="582"/>
      <c r="R150" s="582"/>
      <c r="S150" s="582"/>
      <c r="T150" s="583"/>
      <c r="U150" s="712">
        <f>O45</f>
        <v>0</v>
      </c>
      <c r="V150" s="713"/>
      <c r="W150" s="710"/>
      <c r="X150" s="721"/>
      <c r="Y150" s="371"/>
      <c r="Z150" s="386">
        <f t="shared" si="14"/>
        <v>1</v>
      </c>
      <c r="AA150" s="380">
        <v>0</v>
      </c>
      <c r="AB150" s="380">
        <v>0</v>
      </c>
      <c r="AC150" s="379">
        <v>1</v>
      </c>
      <c r="AD150" s="379">
        <v>1</v>
      </c>
      <c r="AE150" s="379">
        <v>1</v>
      </c>
      <c r="AF150" s="379"/>
      <c r="AG150" s="380">
        <v>0</v>
      </c>
      <c r="AH150" s="380">
        <v>0</v>
      </c>
      <c r="AI150" s="380">
        <v>0</v>
      </c>
      <c r="AJ150" s="380">
        <v>0</v>
      </c>
      <c r="AL150" s="366" t="s">
        <v>750</v>
      </c>
    </row>
    <row r="151" spans="1:38" s="1" customFormat="1" ht="12.75" customHeight="1" x14ac:dyDescent="0.25">
      <c r="A151" s="369">
        <f t="shared" si="15"/>
        <v>10</v>
      </c>
      <c r="B151" s="402"/>
      <c r="C151" s="615" t="s">
        <v>142</v>
      </c>
      <c r="D151" s="615"/>
      <c r="E151" s="615"/>
      <c r="F151" s="615"/>
      <c r="G151" s="615"/>
      <c r="H151" s="615"/>
      <c r="I151" s="615"/>
      <c r="J151" s="615"/>
      <c r="K151" s="615"/>
      <c r="L151" s="613"/>
      <c r="M151" s="712">
        <f>S44</f>
        <v>0</v>
      </c>
      <c r="N151" s="713"/>
      <c r="O151" s="581" t="s">
        <v>94</v>
      </c>
      <c r="P151" s="582"/>
      <c r="Q151" s="582"/>
      <c r="R151" s="582"/>
      <c r="S151" s="582"/>
      <c r="T151" s="583"/>
      <c r="U151" s="749">
        <f>S45</f>
        <v>0</v>
      </c>
      <c r="V151" s="750"/>
      <c r="W151" s="710"/>
      <c r="X151" s="721"/>
      <c r="Y151" s="371"/>
      <c r="Z151" s="386">
        <f t="shared" si="14"/>
        <v>1</v>
      </c>
      <c r="AA151" s="380">
        <v>0</v>
      </c>
      <c r="AB151" s="380">
        <v>0</v>
      </c>
      <c r="AC151" s="379">
        <v>1</v>
      </c>
      <c r="AD151" s="379">
        <v>1</v>
      </c>
      <c r="AE151" s="379">
        <v>1</v>
      </c>
      <c r="AF151" s="379"/>
      <c r="AG151" s="380">
        <v>0</v>
      </c>
      <c r="AH151" s="380">
        <v>0</v>
      </c>
      <c r="AI151" s="380">
        <v>0</v>
      </c>
      <c r="AJ151" s="380">
        <v>0</v>
      </c>
      <c r="AL151" s="366" t="s">
        <v>152</v>
      </c>
    </row>
    <row r="152" spans="1:38" s="1" customFormat="1" ht="12.75" customHeight="1" x14ac:dyDescent="0.25">
      <c r="A152" s="369">
        <f t="shared" si="15"/>
        <v>11</v>
      </c>
      <c r="B152" s="402"/>
      <c r="C152" s="615" t="s">
        <v>141</v>
      </c>
      <c r="D152" s="615"/>
      <c r="E152" s="615"/>
      <c r="F152" s="615"/>
      <c r="G152" s="615"/>
      <c r="H152" s="615"/>
      <c r="I152" s="615"/>
      <c r="J152" s="615"/>
      <c r="K152" s="615"/>
      <c r="L152" s="613"/>
      <c r="M152" s="712">
        <f>W44</f>
        <v>0</v>
      </c>
      <c r="N152" s="713"/>
      <c r="O152" s="581" t="s">
        <v>96</v>
      </c>
      <c r="P152" s="582"/>
      <c r="Q152" s="582"/>
      <c r="R152" s="582"/>
      <c r="S152" s="582"/>
      <c r="T152" s="583"/>
      <c r="U152" s="746">
        <f>W45</f>
        <v>0</v>
      </c>
      <c r="V152" s="747"/>
      <c r="W152" s="710"/>
      <c r="X152" s="721"/>
      <c r="Y152" s="371"/>
      <c r="Z152" s="386">
        <f t="shared" si="14"/>
        <v>1</v>
      </c>
      <c r="AA152" s="380">
        <v>0</v>
      </c>
      <c r="AB152" s="380">
        <v>0</v>
      </c>
      <c r="AC152" s="379">
        <v>1</v>
      </c>
      <c r="AD152" s="379">
        <v>1</v>
      </c>
      <c r="AE152" s="379">
        <v>1</v>
      </c>
      <c r="AF152" s="379"/>
      <c r="AG152" s="380">
        <v>0</v>
      </c>
      <c r="AH152" s="380">
        <v>0</v>
      </c>
      <c r="AI152" s="380">
        <v>0</v>
      </c>
      <c r="AJ152" s="380">
        <v>0</v>
      </c>
      <c r="AL152" s="390" t="s">
        <v>721</v>
      </c>
    </row>
    <row r="153" spans="1:38" s="1" customFormat="1" ht="12.75" customHeight="1" x14ac:dyDescent="0.25">
      <c r="A153" s="369">
        <f t="shared" si="15"/>
        <v>12</v>
      </c>
      <c r="B153" s="402"/>
      <c r="C153" s="612" t="s">
        <v>289</v>
      </c>
      <c r="D153" s="612"/>
      <c r="E153" s="612"/>
      <c r="F153" s="612"/>
      <c r="G153" s="612"/>
      <c r="H153" s="612"/>
      <c r="I153" s="612"/>
      <c r="J153" s="612"/>
      <c r="K153" s="612"/>
      <c r="L153" s="613"/>
      <c r="M153" s="699">
        <f>S41</f>
        <v>0</v>
      </c>
      <c r="N153" s="700"/>
      <c r="O153" s="598" t="s">
        <v>752</v>
      </c>
      <c r="P153" s="599"/>
      <c r="Q153" s="600"/>
      <c r="R153" s="360" t="s">
        <v>238</v>
      </c>
      <c r="S153" s="624"/>
      <c r="T153" s="624"/>
      <c r="U153" s="624"/>
      <c r="V153" s="624"/>
      <c r="W153" s="624"/>
      <c r="X153" s="624"/>
      <c r="Y153" s="371"/>
      <c r="Z153" s="386">
        <f t="shared" si="14"/>
        <v>1</v>
      </c>
      <c r="AA153" s="380">
        <v>0</v>
      </c>
      <c r="AB153" s="380">
        <v>1</v>
      </c>
      <c r="AC153" s="379">
        <v>1</v>
      </c>
      <c r="AD153" s="379">
        <v>1</v>
      </c>
      <c r="AE153" s="379">
        <v>1</v>
      </c>
      <c r="AF153" s="379"/>
      <c r="AG153" s="380">
        <v>0</v>
      </c>
      <c r="AH153" s="380">
        <v>0</v>
      </c>
      <c r="AI153" s="380">
        <v>0</v>
      </c>
      <c r="AJ153" s="380">
        <v>0</v>
      </c>
      <c r="AL153" s="366" t="s">
        <v>238</v>
      </c>
    </row>
    <row r="154" spans="1:38" s="1" customFormat="1" ht="12.75" customHeight="1" x14ac:dyDescent="0.25">
      <c r="A154" s="369">
        <f t="shared" si="15"/>
        <v>13</v>
      </c>
      <c r="B154" s="402"/>
      <c r="C154" s="612" t="s">
        <v>517</v>
      </c>
      <c r="D154" s="612"/>
      <c r="E154" s="612"/>
      <c r="F154" s="612"/>
      <c r="G154" s="612"/>
      <c r="H154" s="612"/>
      <c r="I154" s="612"/>
      <c r="J154" s="612"/>
      <c r="K154" s="612"/>
      <c r="L154" s="613"/>
      <c r="M154" s="742">
        <f>M153*M148</f>
        <v>0</v>
      </c>
      <c r="N154" s="743"/>
      <c r="O154" s="598"/>
      <c r="P154" s="599"/>
      <c r="Q154" s="599"/>
      <c r="R154" s="599"/>
      <c r="S154" s="599"/>
      <c r="T154" s="599"/>
      <c r="U154" s="599"/>
      <c r="V154" s="599"/>
      <c r="W154" s="599"/>
      <c r="X154" s="599"/>
      <c r="Y154" s="371"/>
      <c r="Z154" s="386">
        <f t="shared" si="14"/>
        <v>1</v>
      </c>
      <c r="AA154" s="380">
        <v>0</v>
      </c>
      <c r="AB154" s="380">
        <v>1</v>
      </c>
      <c r="AC154" s="379">
        <v>1</v>
      </c>
      <c r="AD154" s="379">
        <v>1</v>
      </c>
      <c r="AE154" s="379">
        <v>1</v>
      </c>
      <c r="AF154" s="379"/>
      <c r="AG154" s="380">
        <v>0</v>
      </c>
      <c r="AH154" s="380">
        <v>0</v>
      </c>
      <c r="AI154" s="380">
        <v>0</v>
      </c>
      <c r="AJ154" s="380">
        <v>0</v>
      </c>
      <c r="AL154" s="366"/>
    </row>
    <row r="155" spans="1:38" s="1" customFormat="1" ht="12.75" customHeight="1" x14ac:dyDescent="0.25">
      <c r="A155" s="369">
        <f t="shared" si="15"/>
        <v>14</v>
      </c>
      <c r="B155" s="402"/>
      <c r="C155" s="612" t="s">
        <v>135</v>
      </c>
      <c r="D155" s="612"/>
      <c r="E155" s="612"/>
      <c r="F155" s="612"/>
      <c r="G155" s="612"/>
      <c r="H155" s="612"/>
      <c r="I155" s="612"/>
      <c r="J155" s="612"/>
      <c r="K155" s="612"/>
      <c r="L155" s="613"/>
      <c r="M155" s="744">
        <f>M154*0.7</f>
        <v>0</v>
      </c>
      <c r="N155" s="745"/>
      <c r="O155" s="598"/>
      <c r="P155" s="599"/>
      <c r="Q155" s="599"/>
      <c r="R155" s="599"/>
      <c r="S155" s="599"/>
      <c r="T155" s="599"/>
      <c r="U155" s="599"/>
      <c r="V155" s="599"/>
      <c r="W155" s="599"/>
      <c r="X155" s="599"/>
      <c r="Y155" s="371"/>
      <c r="Z155" s="386">
        <f t="shared" si="14"/>
        <v>1</v>
      </c>
      <c r="AA155" s="380">
        <v>0</v>
      </c>
      <c r="AB155" s="380">
        <v>0</v>
      </c>
      <c r="AC155" s="379">
        <v>1</v>
      </c>
      <c r="AD155" s="379">
        <v>1</v>
      </c>
      <c r="AE155" s="379">
        <v>1</v>
      </c>
      <c r="AF155" s="379"/>
      <c r="AG155" s="380">
        <v>0</v>
      </c>
      <c r="AH155" s="380">
        <v>0</v>
      </c>
      <c r="AI155" s="380">
        <v>0</v>
      </c>
      <c r="AJ155" s="380">
        <v>0</v>
      </c>
      <c r="AL155" s="1">
        <v>1</v>
      </c>
    </row>
    <row r="156" spans="1:38" s="1" customFormat="1" ht="12.75" customHeight="1" x14ac:dyDescent="0.25">
      <c r="A156" s="369">
        <f t="shared" si="15"/>
        <v>15</v>
      </c>
      <c r="B156" s="402"/>
      <c r="C156" s="612" t="s">
        <v>136</v>
      </c>
      <c r="D156" s="612"/>
      <c r="E156" s="612"/>
      <c r="F156" s="612"/>
      <c r="G156" s="612"/>
      <c r="H156" s="612"/>
      <c r="I156" s="612"/>
      <c r="J156" s="612"/>
      <c r="K156" s="612"/>
      <c r="L156" s="613"/>
      <c r="M156" s="699">
        <f>I48</f>
        <v>0</v>
      </c>
      <c r="N156" s="700"/>
      <c r="O156" s="598"/>
      <c r="P156" s="599"/>
      <c r="Q156" s="599"/>
      <c r="R156" s="599"/>
      <c r="S156" s="599"/>
      <c r="T156" s="599"/>
      <c r="U156" s="599"/>
      <c r="V156" s="599"/>
      <c r="W156" s="599"/>
      <c r="X156" s="599"/>
      <c r="Y156" s="371"/>
      <c r="Z156" s="386">
        <f t="shared" si="14"/>
        <v>1</v>
      </c>
      <c r="AA156" s="380">
        <v>0</v>
      </c>
      <c r="AB156" s="380">
        <v>1</v>
      </c>
      <c r="AC156" s="379">
        <v>1</v>
      </c>
      <c r="AD156" s="379">
        <v>1</v>
      </c>
      <c r="AE156" s="379">
        <v>1</v>
      </c>
      <c r="AF156" s="379"/>
      <c r="AG156" s="380">
        <v>0</v>
      </c>
      <c r="AH156" s="380">
        <v>0</v>
      </c>
      <c r="AI156" s="380">
        <v>0</v>
      </c>
      <c r="AJ156" s="380">
        <v>0</v>
      </c>
      <c r="AL156" s="348">
        <v>0</v>
      </c>
    </row>
    <row r="157" spans="1:38" s="1" customFormat="1" ht="12.75" customHeight="1" x14ac:dyDescent="0.25">
      <c r="A157" s="369">
        <f t="shared" si="15"/>
        <v>16</v>
      </c>
      <c r="B157" s="402"/>
      <c r="C157" s="612" t="s">
        <v>103</v>
      </c>
      <c r="D157" s="612"/>
      <c r="E157" s="612"/>
      <c r="F157" s="612"/>
      <c r="G157" s="612"/>
      <c r="H157" s="612"/>
      <c r="I157" s="612"/>
      <c r="J157" s="612"/>
      <c r="K157" s="612"/>
      <c r="L157" s="613"/>
      <c r="M157" s="699">
        <f>K48</f>
        <v>0</v>
      </c>
      <c r="N157" s="700"/>
      <c r="O157" s="598"/>
      <c r="P157" s="599"/>
      <c r="Q157" s="599"/>
      <c r="R157" s="599"/>
      <c r="S157" s="599"/>
      <c r="T157" s="599"/>
      <c r="U157" s="599"/>
      <c r="V157" s="599"/>
      <c r="W157" s="599"/>
      <c r="X157" s="599"/>
      <c r="Y157" s="371"/>
      <c r="Z157" s="386">
        <f t="shared" si="14"/>
        <v>1</v>
      </c>
      <c r="AA157" s="380">
        <v>0</v>
      </c>
      <c r="AB157" s="380">
        <v>1</v>
      </c>
      <c r="AC157" s="379">
        <v>1</v>
      </c>
      <c r="AD157" s="379">
        <v>1</v>
      </c>
      <c r="AE157" s="379">
        <v>1</v>
      </c>
      <c r="AF157" s="379"/>
      <c r="AG157" s="380">
        <v>0</v>
      </c>
      <c r="AH157" s="380">
        <v>0</v>
      </c>
      <c r="AI157" s="380">
        <v>0</v>
      </c>
      <c r="AJ157" s="380">
        <v>0</v>
      </c>
    </row>
    <row r="158" spans="1:38" s="1" customFormat="1" ht="12.75" customHeight="1" x14ac:dyDescent="0.25">
      <c r="A158" s="369">
        <f t="shared" si="15"/>
        <v>17</v>
      </c>
      <c r="B158" s="402"/>
      <c r="C158" s="612" t="s">
        <v>291</v>
      </c>
      <c r="D158" s="612"/>
      <c r="E158" s="612"/>
      <c r="F158" s="612"/>
      <c r="G158" s="612"/>
      <c r="H158" s="612"/>
      <c r="I158" s="612"/>
      <c r="J158" s="612"/>
      <c r="K158" s="612"/>
      <c r="L158" s="613"/>
      <c r="M158" s="714" t="e">
        <f>M48</f>
        <v>#DIV/0!</v>
      </c>
      <c r="N158" s="715"/>
      <c r="O158" s="598" t="s">
        <v>1707</v>
      </c>
      <c r="P158" s="599"/>
      <c r="Q158" s="600"/>
      <c r="R158" s="360" t="s">
        <v>238</v>
      </c>
      <c r="S158" s="624"/>
      <c r="T158" s="624"/>
      <c r="U158" s="624"/>
      <c r="V158" s="624"/>
      <c r="W158" s="624"/>
      <c r="X158" s="624"/>
      <c r="Y158" s="371"/>
      <c r="Z158" s="386">
        <f t="shared" si="14"/>
        <v>1</v>
      </c>
      <c r="AA158" s="380">
        <v>0</v>
      </c>
      <c r="AB158" s="380">
        <v>0</v>
      </c>
      <c r="AC158" s="379">
        <v>1</v>
      </c>
      <c r="AD158" s="379">
        <v>1</v>
      </c>
      <c r="AE158" s="379">
        <v>1</v>
      </c>
      <c r="AF158" s="379"/>
      <c r="AG158" s="380">
        <v>0</v>
      </c>
      <c r="AH158" s="380">
        <v>0</v>
      </c>
      <c r="AI158" s="380">
        <v>0</v>
      </c>
      <c r="AJ158" s="380">
        <v>0</v>
      </c>
      <c r="AL158" s="1" t="s">
        <v>238</v>
      </c>
    </row>
    <row r="159" spans="1:38" s="1" customFormat="1" ht="12.75" customHeight="1" x14ac:dyDescent="0.25">
      <c r="A159" s="369">
        <f t="shared" si="15"/>
        <v>18</v>
      </c>
      <c r="B159" s="402"/>
      <c r="C159" s="612" t="s">
        <v>292</v>
      </c>
      <c r="D159" s="612"/>
      <c r="E159" s="612"/>
      <c r="F159" s="612"/>
      <c r="G159" s="612"/>
      <c r="H159" s="612"/>
      <c r="I159" s="612"/>
      <c r="J159" s="612"/>
      <c r="K159" s="612"/>
      <c r="L159" s="613"/>
      <c r="M159" s="714" t="e">
        <f>O48</f>
        <v>#DIV/0!</v>
      </c>
      <c r="N159" s="715"/>
      <c r="O159" s="598"/>
      <c r="P159" s="599"/>
      <c r="Q159" s="599"/>
      <c r="R159" s="599"/>
      <c r="S159" s="599"/>
      <c r="T159" s="599"/>
      <c r="U159" s="599"/>
      <c r="V159" s="599"/>
      <c r="W159" s="599"/>
      <c r="X159" s="599"/>
      <c r="Y159" s="371"/>
      <c r="Z159" s="386">
        <f t="shared" si="14"/>
        <v>1</v>
      </c>
      <c r="AA159" s="380">
        <v>0</v>
      </c>
      <c r="AB159" s="380">
        <v>1</v>
      </c>
      <c r="AC159" s="379">
        <v>1</v>
      </c>
      <c r="AD159" s="379">
        <v>1</v>
      </c>
      <c r="AE159" s="379">
        <v>1</v>
      </c>
      <c r="AF159" s="379"/>
      <c r="AG159" s="380">
        <v>0</v>
      </c>
      <c r="AH159" s="380">
        <v>0</v>
      </c>
      <c r="AI159" s="380">
        <v>0</v>
      </c>
      <c r="AJ159" s="380">
        <v>0</v>
      </c>
      <c r="AL159" s="1" t="s">
        <v>790</v>
      </c>
    </row>
    <row r="160" spans="1:38" s="1" customFormat="1" ht="12.75" customHeight="1" x14ac:dyDescent="0.25">
      <c r="A160" s="369">
        <f t="shared" si="15"/>
        <v>19</v>
      </c>
      <c r="B160" s="402"/>
      <c r="C160" s="612" t="s">
        <v>88</v>
      </c>
      <c r="D160" s="612"/>
      <c r="E160" s="612"/>
      <c r="F160" s="612"/>
      <c r="G160" s="612"/>
      <c r="H160" s="612"/>
      <c r="I160" s="612"/>
      <c r="J160" s="612"/>
      <c r="K160" s="612"/>
      <c r="L160" s="613"/>
      <c r="M160" s="701"/>
      <c r="N160" s="702"/>
      <c r="O160" s="581" t="s">
        <v>154</v>
      </c>
      <c r="P160" s="582"/>
      <c r="Q160" s="582"/>
      <c r="R160" s="582"/>
      <c r="S160" s="582"/>
      <c r="T160" s="583"/>
      <c r="U160" s="674"/>
      <c r="V160" s="656"/>
      <c r="W160" s="710"/>
      <c r="X160" s="721"/>
      <c r="Y160" s="371"/>
      <c r="Z160" s="386">
        <f t="shared" si="14"/>
        <v>1</v>
      </c>
      <c r="AA160" s="380">
        <v>0</v>
      </c>
      <c r="AB160" s="380">
        <v>0</v>
      </c>
      <c r="AC160" s="379">
        <v>1</v>
      </c>
      <c r="AD160" s="379">
        <v>1</v>
      </c>
      <c r="AE160" s="379">
        <v>1</v>
      </c>
      <c r="AF160" s="379"/>
      <c r="AG160" s="380">
        <v>0</v>
      </c>
      <c r="AH160" s="380">
        <v>0</v>
      </c>
      <c r="AI160" s="380">
        <v>0</v>
      </c>
      <c r="AJ160" s="380">
        <v>0</v>
      </c>
      <c r="AL160" s="1" t="s">
        <v>805</v>
      </c>
    </row>
    <row r="161" spans="1:38" s="1" customFormat="1" ht="12.75" customHeight="1" x14ac:dyDescent="0.25">
      <c r="A161" s="369">
        <f t="shared" si="15"/>
        <v>20</v>
      </c>
      <c r="B161" s="402"/>
      <c r="C161" s="615" t="s">
        <v>104</v>
      </c>
      <c r="D161" s="615"/>
      <c r="E161" s="615"/>
      <c r="F161" s="615"/>
      <c r="G161" s="615"/>
      <c r="H161" s="615"/>
      <c r="I161" s="615"/>
      <c r="J161" s="615"/>
      <c r="K161" s="615"/>
      <c r="L161" s="613"/>
      <c r="M161" s="701"/>
      <c r="N161" s="702"/>
      <c r="O161" s="598"/>
      <c r="P161" s="599"/>
      <c r="Q161" s="599"/>
      <c r="R161" s="599"/>
      <c r="S161" s="599"/>
      <c r="T161" s="599"/>
      <c r="U161" s="599"/>
      <c r="V161" s="599"/>
      <c r="W161" s="599"/>
      <c r="X161" s="599"/>
      <c r="Y161" s="371"/>
      <c r="Z161" s="386">
        <f t="shared" si="14"/>
        <v>1</v>
      </c>
      <c r="AA161" s="380">
        <v>0</v>
      </c>
      <c r="AB161" s="380">
        <v>0</v>
      </c>
      <c r="AC161" s="379">
        <v>1</v>
      </c>
      <c r="AD161" s="379">
        <v>1</v>
      </c>
      <c r="AE161" s="379">
        <v>1</v>
      </c>
      <c r="AF161" s="379"/>
      <c r="AG161" s="380">
        <v>0</v>
      </c>
      <c r="AH161" s="380">
        <v>0</v>
      </c>
      <c r="AI161" s="380">
        <v>0</v>
      </c>
      <c r="AJ161" s="380">
        <v>0</v>
      </c>
      <c r="AL161" s="1" t="s">
        <v>791</v>
      </c>
    </row>
    <row r="162" spans="1:38" s="1" customFormat="1" ht="12.75" customHeight="1" x14ac:dyDescent="0.25">
      <c r="A162" s="369">
        <f t="shared" si="15"/>
        <v>21</v>
      </c>
      <c r="B162" s="402"/>
      <c r="C162" s="615" t="s">
        <v>105</v>
      </c>
      <c r="D162" s="615"/>
      <c r="E162" s="615"/>
      <c r="F162" s="615"/>
      <c r="G162" s="615"/>
      <c r="H162" s="615"/>
      <c r="I162" s="615"/>
      <c r="J162" s="615"/>
      <c r="K162" s="615"/>
      <c r="L162" s="613"/>
      <c r="M162" s="701"/>
      <c r="N162" s="702"/>
      <c r="O162" s="598"/>
      <c r="P162" s="599"/>
      <c r="Q162" s="599"/>
      <c r="R162" s="599"/>
      <c r="S162" s="599"/>
      <c r="T162" s="599"/>
      <c r="U162" s="599"/>
      <c r="V162" s="599"/>
      <c r="W162" s="599"/>
      <c r="X162" s="599"/>
      <c r="Y162" s="371"/>
      <c r="Z162" s="386">
        <f t="shared" si="14"/>
        <v>1</v>
      </c>
      <c r="AA162" s="380">
        <v>0</v>
      </c>
      <c r="AB162" s="380">
        <v>0</v>
      </c>
      <c r="AC162" s="379">
        <v>1</v>
      </c>
      <c r="AD162" s="379">
        <v>1</v>
      </c>
      <c r="AE162" s="379">
        <v>1</v>
      </c>
      <c r="AF162" s="379"/>
      <c r="AG162" s="380">
        <v>0</v>
      </c>
      <c r="AH162" s="380">
        <v>0</v>
      </c>
      <c r="AI162" s="380">
        <v>0</v>
      </c>
      <c r="AJ162" s="380">
        <v>0</v>
      </c>
      <c r="AL162" s="1" t="s">
        <v>792</v>
      </c>
    </row>
    <row r="163" spans="1:38" s="1" customFormat="1" ht="12.75" customHeight="1" x14ac:dyDescent="0.25">
      <c r="A163" s="369">
        <f t="shared" si="15"/>
        <v>22</v>
      </c>
      <c r="B163" s="402"/>
      <c r="C163" s="615" t="s">
        <v>374</v>
      </c>
      <c r="D163" s="615"/>
      <c r="E163" s="615"/>
      <c r="F163" s="615"/>
      <c r="G163" s="615"/>
      <c r="H163" s="615"/>
      <c r="I163" s="615"/>
      <c r="J163" s="615"/>
      <c r="K163" s="615"/>
      <c r="L163" s="613"/>
      <c r="M163" s="360" t="s">
        <v>238</v>
      </c>
      <c r="N163" s="8"/>
      <c r="O163" s="582" t="s">
        <v>469</v>
      </c>
      <c r="P163" s="583"/>
      <c r="Q163" s="580"/>
      <c r="R163" s="580"/>
      <c r="S163" s="580"/>
      <c r="T163" s="580"/>
      <c r="U163" s="580"/>
      <c r="V163" s="580"/>
      <c r="W163" s="580"/>
      <c r="X163" s="580"/>
      <c r="Y163" s="371"/>
      <c r="Z163" s="386">
        <f t="shared" si="14"/>
        <v>1</v>
      </c>
      <c r="AA163" s="380">
        <v>0</v>
      </c>
      <c r="AB163" s="380">
        <v>0</v>
      </c>
      <c r="AC163" s="379">
        <v>1</v>
      </c>
      <c r="AD163" s="379">
        <v>1</v>
      </c>
      <c r="AE163" s="379">
        <v>1</v>
      </c>
      <c r="AF163" s="379"/>
      <c r="AG163" s="380">
        <v>0</v>
      </c>
      <c r="AH163" s="380">
        <v>0</v>
      </c>
      <c r="AI163" s="380">
        <v>0</v>
      </c>
      <c r="AJ163" s="380">
        <v>0</v>
      </c>
      <c r="AL163" s="1" t="s">
        <v>793</v>
      </c>
    </row>
    <row r="164" spans="1:38" s="1" customFormat="1" ht="12.75" customHeight="1" x14ac:dyDescent="0.25">
      <c r="A164" s="369">
        <f t="shared" si="15"/>
        <v>23</v>
      </c>
      <c r="B164" s="402"/>
      <c r="C164" s="722" t="s">
        <v>102</v>
      </c>
      <c r="D164" s="722"/>
      <c r="E164" s="722"/>
      <c r="F164" s="722"/>
      <c r="G164" s="722"/>
      <c r="H164" s="722"/>
      <c r="I164" s="722"/>
      <c r="J164" s="722"/>
      <c r="K164" s="722"/>
      <c r="L164" s="723"/>
      <c r="M164" s="360" t="s">
        <v>238</v>
      </c>
      <c r="N164" s="8"/>
      <c r="O164" s="582" t="s">
        <v>469</v>
      </c>
      <c r="P164" s="583"/>
      <c r="Q164" s="580"/>
      <c r="R164" s="580"/>
      <c r="S164" s="580"/>
      <c r="T164" s="580"/>
      <c r="U164" s="580"/>
      <c r="V164" s="580"/>
      <c r="W164" s="580"/>
      <c r="X164" s="580"/>
      <c r="Y164" s="371"/>
      <c r="Z164" s="386">
        <f t="shared" si="14"/>
        <v>1</v>
      </c>
      <c r="AA164" s="380">
        <v>0</v>
      </c>
      <c r="AB164" s="380">
        <v>0</v>
      </c>
      <c r="AC164" s="379">
        <v>1</v>
      </c>
      <c r="AD164" s="379">
        <v>1</v>
      </c>
      <c r="AE164" s="379">
        <v>1</v>
      </c>
      <c r="AF164" s="379"/>
      <c r="AG164" s="380">
        <v>0</v>
      </c>
      <c r="AH164" s="380">
        <v>0</v>
      </c>
      <c r="AI164" s="380">
        <v>0</v>
      </c>
      <c r="AJ164" s="380">
        <v>0</v>
      </c>
      <c r="AL164" s="1" t="s">
        <v>806</v>
      </c>
    </row>
    <row r="165" spans="1:38" s="1" customFormat="1" ht="12.75" customHeight="1" x14ac:dyDescent="0.25"/>
    <row r="166" spans="1:38" s="1" customFormat="1" ht="12.75" customHeight="1" x14ac:dyDescent="0.25"/>
    <row r="167" spans="1:38" s="1" customFormat="1" ht="12.75" customHeight="1" x14ac:dyDescent="0.25">
      <c r="A167" s="369">
        <f>A164+1</f>
        <v>24</v>
      </c>
      <c r="B167" s="402"/>
      <c r="C167" s="722" t="s">
        <v>226</v>
      </c>
      <c r="D167" s="722"/>
      <c r="E167" s="722"/>
      <c r="F167" s="722"/>
      <c r="G167" s="722"/>
      <c r="H167" s="722"/>
      <c r="I167" s="722"/>
      <c r="J167" s="722"/>
      <c r="K167" s="722"/>
      <c r="L167" s="723"/>
      <c r="M167" s="360" t="s">
        <v>714</v>
      </c>
      <c r="N167" s="8"/>
      <c r="O167" s="582" t="s">
        <v>469</v>
      </c>
      <c r="P167" s="583"/>
      <c r="Q167" s="580"/>
      <c r="R167" s="580"/>
      <c r="S167" s="580"/>
      <c r="T167" s="580"/>
      <c r="U167" s="580"/>
      <c r="V167" s="580"/>
      <c r="W167" s="580"/>
      <c r="X167" s="580"/>
      <c r="Y167" s="371"/>
      <c r="Z167" s="386">
        <f t="shared" si="14"/>
        <v>1</v>
      </c>
      <c r="AA167" s="380">
        <v>0</v>
      </c>
      <c r="AB167" s="380">
        <v>0</v>
      </c>
      <c r="AC167" s="379">
        <v>1</v>
      </c>
      <c r="AD167" s="379">
        <v>1</v>
      </c>
      <c r="AE167" s="379">
        <v>1</v>
      </c>
      <c r="AF167" s="379"/>
      <c r="AG167" s="380">
        <v>0</v>
      </c>
      <c r="AH167" s="380">
        <v>0</v>
      </c>
      <c r="AI167" s="380">
        <v>0</v>
      </c>
      <c r="AJ167" s="380">
        <v>0</v>
      </c>
      <c r="AL167" s="1" t="s">
        <v>807</v>
      </c>
    </row>
    <row r="168" spans="1:38" s="1" customFormat="1" ht="12.75" customHeight="1" x14ac:dyDescent="0.25">
      <c r="A168" s="369">
        <f t="shared" si="15"/>
        <v>25</v>
      </c>
      <c r="B168" s="402"/>
      <c r="C168" s="615" t="s">
        <v>409</v>
      </c>
      <c r="D168" s="615"/>
      <c r="E168" s="615"/>
      <c r="F168" s="615"/>
      <c r="G168" s="615"/>
      <c r="H168" s="615"/>
      <c r="I168" s="615"/>
      <c r="J168" s="615"/>
      <c r="K168" s="615"/>
      <c r="L168" s="613"/>
      <c r="M168" s="360" t="s">
        <v>238</v>
      </c>
      <c r="N168" s="8"/>
      <c r="O168" s="582" t="s">
        <v>469</v>
      </c>
      <c r="P168" s="583"/>
      <c r="Q168" s="580"/>
      <c r="R168" s="580"/>
      <c r="S168" s="580"/>
      <c r="T168" s="580"/>
      <c r="U168" s="580"/>
      <c r="V168" s="580"/>
      <c r="W168" s="580"/>
      <c r="X168" s="580"/>
      <c r="Y168" s="371"/>
      <c r="Z168" s="386">
        <f t="shared" si="14"/>
        <v>1</v>
      </c>
      <c r="AA168" s="380">
        <v>0</v>
      </c>
      <c r="AB168" s="380">
        <v>0</v>
      </c>
      <c r="AC168" s="379">
        <v>1</v>
      </c>
      <c r="AD168" s="379">
        <v>1</v>
      </c>
      <c r="AE168" s="379">
        <v>1</v>
      </c>
      <c r="AF168" s="379"/>
      <c r="AG168" s="380">
        <v>0</v>
      </c>
      <c r="AH168" s="380">
        <v>0</v>
      </c>
      <c r="AI168" s="380">
        <v>0</v>
      </c>
      <c r="AJ168" s="380">
        <v>0</v>
      </c>
      <c r="AL168" s="1" t="s">
        <v>794</v>
      </c>
    </row>
    <row r="169" spans="1:38" s="1" customFormat="1" ht="12.75" customHeight="1" x14ac:dyDescent="0.25">
      <c r="A169" s="369">
        <f t="shared" si="15"/>
        <v>26</v>
      </c>
      <c r="B169" s="402"/>
      <c r="C169" s="615" t="s">
        <v>519</v>
      </c>
      <c r="D169" s="615"/>
      <c r="E169" s="615"/>
      <c r="F169" s="615"/>
      <c r="G169" s="615"/>
      <c r="H169" s="615"/>
      <c r="I169" s="615"/>
      <c r="J169" s="615"/>
      <c r="K169" s="615"/>
      <c r="L169" s="613"/>
      <c r="M169" s="739" t="str">
        <f>L33</f>
        <v>N</v>
      </c>
      <c r="N169" s="740"/>
      <c r="O169" s="598" t="s">
        <v>461</v>
      </c>
      <c r="P169" s="599"/>
      <c r="Q169" s="600"/>
      <c r="R169" s="360" t="s">
        <v>238</v>
      </c>
      <c r="S169" s="580"/>
      <c r="T169" s="580"/>
      <c r="U169" s="580"/>
      <c r="V169" s="580"/>
      <c r="W169" s="580"/>
      <c r="X169" s="580"/>
      <c r="Y169" s="371"/>
      <c r="Z169" s="386">
        <f t="shared" si="14"/>
        <v>1</v>
      </c>
      <c r="AA169" s="380">
        <v>1</v>
      </c>
      <c r="AB169" s="380">
        <v>1</v>
      </c>
      <c r="AC169" s="379">
        <v>1</v>
      </c>
      <c r="AD169" s="379">
        <v>1</v>
      </c>
      <c r="AE169" s="379">
        <v>1</v>
      </c>
      <c r="AF169" s="379"/>
      <c r="AG169" s="380">
        <v>1</v>
      </c>
      <c r="AH169" s="380">
        <v>1</v>
      </c>
      <c r="AI169" s="380">
        <v>1</v>
      </c>
      <c r="AJ169" s="380">
        <v>1</v>
      </c>
      <c r="AL169" s="1" t="s">
        <v>808</v>
      </c>
    </row>
    <row r="170" spans="1:38" s="1" customFormat="1" ht="12.75" customHeight="1" x14ac:dyDescent="0.25">
      <c r="A170" s="369">
        <f t="shared" si="15"/>
        <v>27</v>
      </c>
      <c r="B170" s="402"/>
      <c r="C170" s="615" t="s">
        <v>529</v>
      </c>
      <c r="D170" s="615"/>
      <c r="E170" s="615"/>
      <c r="F170" s="615"/>
      <c r="G170" s="615"/>
      <c r="H170" s="615"/>
      <c r="I170" s="615"/>
      <c r="J170" s="615"/>
      <c r="K170" s="615"/>
      <c r="L170" s="613"/>
      <c r="M170" s="739">
        <f>Q33</f>
        <v>0</v>
      </c>
      <c r="N170" s="740"/>
      <c r="O170" s="598" t="s">
        <v>461</v>
      </c>
      <c r="P170" s="599"/>
      <c r="Q170" s="600"/>
      <c r="R170" s="360" t="s">
        <v>238</v>
      </c>
      <c r="S170" s="580"/>
      <c r="T170" s="580"/>
      <c r="U170" s="580"/>
      <c r="V170" s="580"/>
      <c r="W170" s="580"/>
      <c r="X170" s="580"/>
      <c r="Y170" s="371"/>
      <c r="Z170" s="386">
        <f t="shared" si="14"/>
        <v>1</v>
      </c>
      <c r="AA170" s="380">
        <v>1</v>
      </c>
      <c r="AB170" s="380">
        <v>1</v>
      </c>
      <c r="AC170" s="379">
        <v>1</v>
      </c>
      <c r="AD170" s="379">
        <v>1</v>
      </c>
      <c r="AE170" s="379">
        <v>1</v>
      </c>
      <c r="AF170" s="379"/>
      <c r="AG170" s="380">
        <v>1</v>
      </c>
      <c r="AH170" s="380">
        <v>1</v>
      </c>
      <c r="AI170" s="380">
        <v>1</v>
      </c>
      <c r="AJ170" s="380">
        <v>1</v>
      </c>
      <c r="AL170" s="1" t="s">
        <v>795</v>
      </c>
    </row>
    <row r="171" spans="1:38" s="1" customFormat="1" ht="12.75" customHeight="1" x14ac:dyDescent="0.25">
      <c r="A171" s="369">
        <f t="shared" si="15"/>
        <v>28</v>
      </c>
      <c r="B171" s="519" t="s">
        <v>821</v>
      </c>
      <c r="C171" s="615" t="s">
        <v>466</v>
      </c>
      <c r="D171" s="615"/>
      <c r="E171" s="615"/>
      <c r="F171" s="615"/>
      <c r="G171" s="615"/>
      <c r="H171" s="615"/>
      <c r="I171" s="615"/>
      <c r="J171" s="615"/>
      <c r="K171" s="615"/>
      <c r="L171" s="613"/>
      <c r="M171" s="360" t="s">
        <v>238</v>
      </c>
      <c r="N171" s="8"/>
      <c r="O171" s="582" t="s">
        <v>469</v>
      </c>
      <c r="P171" s="583"/>
      <c r="Q171" s="580"/>
      <c r="R171" s="580"/>
      <c r="S171" s="580"/>
      <c r="T171" s="580"/>
      <c r="U171" s="580"/>
      <c r="V171" s="580"/>
      <c r="W171" s="580"/>
      <c r="X171" s="580"/>
      <c r="Y171" s="371"/>
      <c r="Z171" s="386">
        <f t="shared" si="14"/>
        <v>1</v>
      </c>
      <c r="AA171" s="380">
        <v>1</v>
      </c>
      <c r="AB171" s="380">
        <v>1</v>
      </c>
      <c r="AC171" s="379">
        <v>1</v>
      </c>
      <c r="AD171" s="379">
        <v>1</v>
      </c>
      <c r="AE171" s="379">
        <v>1</v>
      </c>
      <c r="AF171" s="379"/>
      <c r="AG171" s="380">
        <v>1</v>
      </c>
      <c r="AH171" s="380">
        <v>1</v>
      </c>
      <c r="AI171" s="380">
        <v>1</v>
      </c>
      <c r="AJ171" s="380">
        <v>1</v>
      </c>
      <c r="AL171" s="1" t="s">
        <v>796</v>
      </c>
    </row>
    <row r="172" spans="1:38" s="1" customFormat="1" ht="12.75" customHeight="1" x14ac:dyDescent="0.25">
      <c r="A172" s="372">
        <f t="shared" si="15"/>
        <v>29</v>
      </c>
      <c r="B172" s="520"/>
      <c r="C172" s="615" t="s">
        <v>372</v>
      </c>
      <c r="D172" s="615"/>
      <c r="E172" s="615"/>
      <c r="F172" s="615"/>
      <c r="G172" s="615"/>
      <c r="H172" s="615"/>
      <c r="I172" s="615"/>
      <c r="J172" s="615"/>
      <c r="K172" s="615"/>
      <c r="L172" s="613"/>
      <c r="M172" s="717">
        <f>W33</f>
        <v>0</v>
      </c>
      <c r="N172" s="718"/>
      <c r="O172" s="598" t="s">
        <v>465</v>
      </c>
      <c r="P172" s="599"/>
      <c r="Q172" s="599"/>
      <c r="R172" s="599"/>
      <c r="S172" s="599"/>
      <c r="T172" s="600"/>
      <c r="U172" s="360" t="s">
        <v>238</v>
      </c>
      <c r="V172" s="2"/>
      <c r="W172" s="2"/>
      <c r="X172" s="2"/>
      <c r="Y172" s="371"/>
      <c r="Z172" s="386">
        <f t="shared" si="14"/>
        <v>1</v>
      </c>
      <c r="AA172" s="380">
        <v>1</v>
      </c>
      <c r="AB172" s="380">
        <v>1</v>
      </c>
      <c r="AC172" s="379">
        <v>1</v>
      </c>
      <c r="AD172" s="379">
        <v>1</v>
      </c>
      <c r="AE172" s="379">
        <v>1</v>
      </c>
      <c r="AF172" s="379"/>
      <c r="AG172" s="380">
        <v>1</v>
      </c>
      <c r="AH172" s="380">
        <v>1</v>
      </c>
      <c r="AI172" s="380">
        <v>1</v>
      </c>
      <c r="AJ172" s="380">
        <v>1</v>
      </c>
      <c r="AL172" s="1" t="s">
        <v>809</v>
      </c>
    </row>
    <row r="173" spans="1:38" s="1" customFormat="1" ht="12.75" customHeight="1" x14ac:dyDescent="0.25">
      <c r="A173" s="372">
        <f>A172+1</f>
        <v>30</v>
      </c>
      <c r="B173" s="521"/>
      <c r="C173" s="615" t="s">
        <v>365</v>
      </c>
      <c r="D173" s="615"/>
      <c r="E173" s="615"/>
      <c r="F173" s="615"/>
      <c r="G173" s="615"/>
      <c r="H173" s="615"/>
      <c r="I173" s="615"/>
      <c r="J173" s="615"/>
      <c r="K173" s="615"/>
      <c r="L173" s="613"/>
      <c r="M173" s="360" t="s">
        <v>238</v>
      </c>
      <c r="N173" s="8"/>
      <c r="O173" s="582" t="s">
        <v>469</v>
      </c>
      <c r="P173" s="583"/>
      <c r="Q173" s="580"/>
      <c r="R173" s="580"/>
      <c r="S173" s="580"/>
      <c r="T173" s="580"/>
      <c r="U173" s="580"/>
      <c r="V173" s="580"/>
      <c r="W173" s="580"/>
      <c r="X173" s="580"/>
      <c r="Y173" s="371"/>
      <c r="Z173" s="386">
        <f t="shared" si="14"/>
        <v>1</v>
      </c>
      <c r="AA173" s="380">
        <v>1</v>
      </c>
      <c r="AB173" s="380">
        <v>0</v>
      </c>
      <c r="AC173" s="379">
        <v>1</v>
      </c>
      <c r="AD173" s="379">
        <v>1</v>
      </c>
      <c r="AE173" s="379">
        <v>1</v>
      </c>
      <c r="AF173" s="379"/>
      <c r="AG173" s="380">
        <v>0</v>
      </c>
      <c r="AH173" s="380">
        <v>1</v>
      </c>
      <c r="AI173" s="380">
        <v>1</v>
      </c>
      <c r="AJ173" s="380">
        <v>1</v>
      </c>
      <c r="AL173" s="4" t="s">
        <v>797</v>
      </c>
    </row>
    <row r="174" spans="1:38" s="5" customFormat="1" ht="12.75" customHeight="1" x14ac:dyDescent="0.25">
      <c r="A174" s="369">
        <f t="shared" si="15"/>
        <v>31</v>
      </c>
      <c r="B174" s="519" t="s">
        <v>817</v>
      </c>
      <c r="C174" s="615" t="s">
        <v>89</v>
      </c>
      <c r="D174" s="615"/>
      <c r="E174" s="615"/>
      <c r="F174" s="615"/>
      <c r="G174" s="615"/>
      <c r="H174" s="615"/>
      <c r="I174" s="615"/>
      <c r="J174" s="615"/>
      <c r="K174" s="615"/>
      <c r="L174" s="613"/>
      <c r="M174" s="360" t="s">
        <v>238</v>
      </c>
      <c r="N174" s="8"/>
      <c r="O174" s="582" t="s">
        <v>469</v>
      </c>
      <c r="P174" s="583"/>
      <c r="Q174" s="580"/>
      <c r="R174" s="580"/>
      <c r="S174" s="580"/>
      <c r="T174" s="580"/>
      <c r="U174" s="580"/>
      <c r="V174" s="580"/>
      <c r="W174" s="580"/>
      <c r="X174" s="580"/>
      <c r="Y174" s="369"/>
      <c r="Z174" s="386">
        <f t="shared" si="14"/>
        <v>1</v>
      </c>
      <c r="AA174" s="380">
        <v>0</v>
      </c>
      <c r="AB174" s="380">
        <v>1</v>
      </c>
      <c r="AC174" s="379">
        <v>1</v>
      </c>
      <c r="AD174" s="379">
        <v>1</v>
      </c>
      <c r="AE174" s="379">
        <v>1</v>
      </c>
      <c r="AF174" s="379"/>
      <c r="AG174" s="380">
        <v>1</v>
      </c>
      <c r="AH174" s="380">
        <v>1</v>
      </c>
      <c r="AI174" s="380">
        <v>1</v>
      </c>
      <c r="AJ174" s="380">
        <v>1</v>
      </c>
      <c r="AL174" s="1" t="s">
        <v>798</v>
      </c>
    </row>
    <row r="175" spans="1:38" s="5" customFormat="1" ht="12.75" customHeight="1" x14ac:dyDescent="0.25">
      <c r="A175" s="369">
        <f t="shared" si="15"/>
        <v>32</v>
      </c>
      <c r="B175" s="520"/>
      <c r="C175" s="615" t="s">
        <v>373</v>
      </c>
      <c r="D175" s="615"/>
      <c r="E175" s="615"/>
      <c r="F175" s="615"/>
      <c r="G175" s="615"/>
      <c r="H175" s="615"/>
      <c r="I175" s="615"/>
      <c r="J175" s="615"/>
      <c r="K175" s="615"/>
      <c r="L175" s="613"/>
      <c r="M175" s="360" t="s">
        <v>238</v>
      </c>
      <c r="N175" s="8"/>
      <c r="O175" s="582" t="s">
        <v>469</v>
      </c>
      <c r="P175" s="583"/>
      <c r="Q175" s="580"/>
      <c r="R175" s="580"/>
      <c r="S175" s="580"/>
      <c r="T175" s="580"/>
      <c r="U175" s="580"/>
      <c r="V175" s="580"/>
      <c r="W175" s="580"/>
      <c r="X175" s="580"/>
      <c r="Y175" s="369"/>
      <c r="Z175" s="386">
        <f t="shared" si="14"/>
        <v>1</v>
      </c>
      <c r="AA175" s="380">
        <v>0</v>
      </c>
      <c r="AB175" s="380">
        <v>0</v>
      </c>
      <c r="AC175" s="379">
        <v>1</v>
      </c>
      <c r="AD175" s="379">
        <v>1</v>
      </c>
      <c r="AE175" s="379">
        <v>1</v>
      </c>
      <c r="AF175" s="379"/>
      <c r="AG175" s="380">
        <v>0</v>
      </c>
      <c r="AH175" s="380">
        <v>1</v>
      </c>
      <c r="AI175" s="380">
        <v>1</v>
      </c>
      <c r="AJ175" s="380">
        <v>1</v>
      </c>
      <c r="AL175" s="1" t="s">
        <v>799</v>
      </c>
    </row>
    <row r="176" spans="1:38" s="1" customFormat="1" ht="12.75" customHeight="1" x14ac:dyDescent="0.25">
      <c r="A176" s="369">
        <f t="shared" si="15"/>
        <v>33</v>
      </c>
      <c r="B176" s="521"/>
      <c r="C176" s="615" t="s">
        <v>225</v>
      </c>
      <c r="D176" s="615"/>
      <c r="E176" s="615"/>
      <c r="F176" s="615"/>
      <c r="G176" s="615"/>
      <c r="H176" s="615"/>
      <c r="I176" s="615"/>
      <c r="J176" s="615"/>
      <c r="K176" s="615"/>
      <c r="L176" s="613"/>
      <c r="M176" s="360" t="s">
        <v>238</v>
      </c>
      <c r="N176" s="8"/>
      <c r="O176" s="582" t="s">
        <v>469</v>
      </c>
      <c r="P176" s="583"/>
      <c r="Q176" s="580"/>
      <c r="R176" s="580"/>
      <c r="S176" s="580"/>
      <c r="T176" s="580"/>
      <c r="U176" s="580"/>
      <c r="V176" s="580"/>
      <c r="W176" s="580"/>
      <c r="X176" s="580"/>
      <c r="Y176" s="371"/>
      <c r="Z176" s="386">
        <f t="shared" si="14"/>
        <v>1</v>
      </c>
      <c r="AA176" s="380">
        <v>0</v>
      </c>
      <c r="AB176" s="380">
        <v>0</v>
      </c>
      <c r="AC176" s="379">
        <v>1</v>
      </c>
      <c r="AD176" s="379">
        <v>1</v>
      </c>
      <c r="AE176" s="379">
        <v>1</v>
      </c>
      <c r="AF176" s="379"/>
      <c r="AG176" s="380">
        <v>0</v>
      </c>
      <c r="AH176" s="380">
        <v>1</v>
      </c>
      <c r="AI176" s="380">
        <v>1</v>
      </c>
      <c r="AJ176" s="380">
        <v>1</v>
      </c>
      <c r="AL176" s="1" t="s">
        <v>800</v>
      </c>
    </row>
    <row r="177" spans="1:39" s="5" customFormat="1" ht="12.75" customHeight="1" x14ac:dyDescent="0.25">
      <c r="A177" s="60"/>
      <c r="B177" s="387"/>
      <c r="C177" s="741"/>
      <c r="D177" s="741"/>
      <c r="E177" s="741"/>
      <c r="F177" s="741"/>
      <c r="G177" s="741"/>
      <c r="H177" s="741"/>
      <c r="I177" s="741"/>
      <c r="J177" s="741"/>
      <c r="K177" s="741"/>
      <c r="L177" s="741"/>
      <c r="M177" s="741"/>
      <c r="N177" s="741"/>
      <c r="O177" s="741"/>
      <c r="P177" s="741"/>
      <c r="Q177" s="741"/>
      <c r="R177" s="741"/>
      <c r="S177" s="741"/>
      <c r="T177" s="741"/>
      <c r="U177" s="741"/>
      <c r="V177" s="741"/>
      <c r="W177" s="741"/>
      <c r="X177" s="741"/>
      <c r="Y177" s="369"/>
      <c r="Z177" s="386" t="s">
        <v>2</v>
      </c>
      <c r="AA177" s="380" t="s">
        <v>2</v>
      </c>
      <c r="AB177" s="380" t="s">
        <v>2</v>
      </c>
      <c r="AC177" s="379" t="s">
        <v>2</v>
      </c>
      <c r="AD177" s="379" t="s">
        <v>2</v>
      </c>
      <c r="AE177" s="379" t="s">
        <v>2</v>
      </c>
      <c r="AF177" s="379"/>
      <c r="AG177" s="379" t="s">
        <v>2</v>
      </c>
      <c r="AH177" s="379" t="s">
        <v>2</v>
      </c>
      <c r="AI177" s="379" t="s">
        <v>2</v>
      </c>
      <c r="AJ177" s="379" t="s">
        <v>2</v>
      </c>
      <c r="AL177" s="1" t="s">
        <v>801</v>
      </c>
    </row>
    <row r="178" spans="1:39" s="543" customFormat="1" ht="12.75" customHeight="1" x14ac:dyDescent="0.25">
      <c r="A178" s="540"/>
      <c r="B178" s="541" t="s">
        <v>703</v>
      </c>
      <c r="C178" s="637" t="s">
        <v>97</v>
      </c>
      <c r="D178" s="637"/>
      <c r="E178" s="637"/>
      <c r="F178" s="637"/>
      <c r="G178" s="637"/>
      <c r="H178" s="637"/>
      <c r="I178" s="637"/>
      <c r="J178" s="637"/>
      <c r="K178" s="637"/>
      <c r="L178" s="637"/>
      <c r="M178" s="637"/>
      <c r="N178" s="637"/>
      <c r="O178" s="637"/>
      <c r="P178" s="637"/>
      <c r="Q178" s="637"/>
      <c r="R178" s="637"/>
      <c r="S178" s="637"/>
      <c r="T178" s="637"/>
      <c r="U178" s="637"/>
      <c r="V178" s="637"/>
      <c r="W178" s="637"/>
      <c r="X178" s="637"/>
      <c r="Y178" s="545"/>
      <c r="Z178" s="546" t="s">
        <v>2</v>
      </c>
      <c r="AA178" s="547" t="s">
        <v>2</v>
      </c>
      <c r="AB178" s="547" t="s">
        <v>2</v>
      </c>
      <c r="AC178" s="548" t="s">
        <v>2</v>
      </c>
      <c r="AD178" s="548" t="s">
        <v>2</v>
      </c>
      <c r="AE178" s="548" t="s">
        <v>2</v>
      </c>
      <c r="AF178" s="548"/>
      <c r="AG178" s="548" t="s">
        <v>2</v>
      </c>
      <c r="AH178" s="548" t="s">
        <v>2</v>
      </c>
      <c r="AI178" s="548" t="s">
        <v>2</v>
      </c>
      <c r="AJ178" s="548" t="s">
        <v>2</v>
      </c>
      <c r="AL178" s="549" t="s">
        <v>802</v>
      </c>
      <c r="AM178" s="549"/>
    </row>
    <row r="179" spans="1:39" s="46" customFormat="1" ht="12.75" customHeight="1" x14ac:dyDescent="0.25">
      <c r="A179" s="48"/>
      <c r="B179" s="347"/>
      <c r="C179" s="364"/>
      <c r="D179" s="364"/>
      <c r="E179" s="364"/>
      <c r="F179" s="364"/>
      <c r="G179" s="364"/>
      <c r="H179" s="364"/>
      <c r="I179" s="364"/>
      <c r="J179" s="364"/>
      <c r="K179" s="364"/>
      <c r="L179" s="364"/>
      <c r="M179" s="364"/>
      <c r="N179" s="364"/>
      <c r="O179" s="364"/>
      <c r="P179" s="364"/>
      <c r="Q179" s="364"/>
      <c r="R179" s="364"/>
      <c r="S179" s="364"/>
      <c r="T179" s="364"/>
      <c r="U179" s="364"/>
      <c r="V179" s="364"/>
      <c r="W179" s="364"/>
      <c r="X179" s="364"/>
      <c r="Y179" s="45"/>
      <c r="Z179" s="386" t="s">
        <v>2</v>
      </c>
      <c r="AA179" s="380" t="s">
        <v>2</v>
      </c>
      <c r="AB179" s="380" t="s">
        <v>2</v>
      </c>
      <c r="AC179" s="379" t="s">
        <v>2</v>
      </c>
      <c r="AD179" s="379" t="s">
        <v>2</v>
      </c>
      <c r="AE179" s="379" t="s">
        <v>2</v>
      </c>
      <c r="AF179" s="379"/>
      <c r="AG179" s="379" t="s">
        <v>2</v>
      </c>
      <c r="AH179" s="379" t="s">
        <v>2</v>
      </c>
      <c r="AI179" s="379" t="s">
        <v>2</v>
      </c>
      <c r="AJ179" s="379" t="s">
        <v>2</v>
      </c>
      <c r="AL179" s="1" t="s">
        <v>803</v>
      </c>
      <c r="AM179" s="1"/>
    </row>
    <row r="180" spans="1:39" s="1" customFormat="1" ht="12.75" customHeight="1" x14ac:dyDescent="0.25">
      <c r="A180" s="369">
        <v>1</v>
      </c>
      <c r="B180" s="402"/>
      <c r="C180" s="612" t="s">
        <v>100</v>
      </c>
      <c r="D180" s="612"/>
      <c r="E180" s="612"/>
      <c r="F180" s="612"/>
      <c r="G180" s="612"/>
      <c r="H180" s="612"/>
      <c r="I180" s="612"/>
      <c r="J180" s="612"/>
      <c r="K180" s="612"/>
      <c r="L180" s="613"/>
      <c r="M180" s="730">
        <f>I42</f>
        <v>0</v>
      </c>
      <c r="N180" s="730"/>
      <c r="O180" s="730"/>
      <c r="P180" s="730"/>
      <c r="Q180" s="730"/>
      <c r="R180" s="730"/>
      <c r="S180" s="730"/>
      <c r="T180" s="730"/>
      <c r="V180" s="2"/>
      <c r="W180" s="2"/>
      <c r="X180" s="2"/>
      <c r="Y180" s="371"/>
      <c r="Z180" s="386">
        <f t="shared" ref="Z180:Z201" si="16">IF(Z$3=0,0,IF(Z$3=1,AA180,IF(Z$3=2,AB180,IF(Z$3=3,AC180,IF(Z$3=4,AD180,IF(Z$3=5,AE180,IF(Z$3=6,AG180,IF(Z$3=7,AH180,IF(Z$3=8,AI180,IF(Z$3=9,AJ180,0))))))))))</f>
        <v>1</v>
      </c>
      <c r="AA180" s="380">
        <v>0</v>
      </c>
      <c r="AB180" s="380">
        <v>0</v>
      </c>
      <c r="AC180" s="379">
        <v>1</v>
      </c>
      <c r="AD180" s="379">
        <v>1</v>
      </c>
      <c r="AE180" s="379">
        <v>1</v>
      </c>
      <c r="AF180" s="379"/>
      <c r="AG180" s="380">
        <v>0</v>
      </c>
      <c r="AH180" s="380">
        <v>0</v>
      </c>
      <c r="AI180" s="380">
        <v>0</v>
      </c>
      <c r="AJ180" s="380">
        <v>0</v>
      </c>
      <c r="AL180" s="1" t="s">
        <v>804</v>
      </c>
    </row>
    <row r="181" spans="1:39" s="1" customFormat="1" ht="12.75" customHeight="1" x14ac:dyDescent="0.25">
      <c r="A181" s="369">
        <f>A180+1</f>
        <v>2</v>
      </c>
      <c r="B181" s="402"/>
      <c r="C181" s="612" t="s">
        <v>37</v>
      </c>
      <c r="D181" s="612"/>
      <c r="E181" s="612"/>
      <c r="F181" s="612"/>
      <c r="G181" s="612"/>
      <c r="H181" s="612"/>
      <c r="I181" s="612"/>
      <c r="J181" s="612"/>
      <c r="K181" s="612"/>
      <c r="L181" s="613"/>
      <c r="M181" s="730">
        <f>M42</f>
        <v>0</v>
      </c>
      <c r="N181" s="730"/>
      <c r="O181" s="730"/>
      <c r="P181" s="730"/>
      <c r="Q181" s="730"/>
      <c r="R181" s="730"/>
      <c r="S181" s="730"/>
      <c r="T181" s="730"/>
      <c r="V181" s="2"/>
      <c r="W181" s="2"/>
      <c r="X181" s="2"/>
      <c r="Y181" s="371"/>
      <c r="Z181" s="386">
        <f t="shared" si="16"/>
        <v>1</v>
      </c>
      <c r="AA181" s="380">
        <v>0</v>
      </c>
      <c r="AB181" s="380">
        <v>0</v>
      </c>
      <c r="AC181" s="379">
        <v>1</v>
      </c>
      <c r="AD181" s="379">
        <v>1</v>
      </c>
      <c r="AE181" s="379">
        <v>1</v>
      </c>
      <c r="AF181" s="379"/>
      <c r="AG181" s="380">
        <v>0</v>
      </c>
      <c r="AH181" s="380">
        <v>0</v>
      </c>
      <c r="AI181" s="380">
        <v>0</v>
      </c>
      <c r="AJ181" s="380">
        <v>0</v>
      </c>
      <c r="AL181" s="366"/>
    </row>
    <row r="182" spans="1:39" s="1" customFormat="1" ht="12.75" customHeight="1" x14ac:dyDescent="0.25">
      <c r="A182" s="369">
        <f t="shared" ref="A182:A201" si="17">A181+1</f>
        <v>3</v>
      </c>
      <c r="B182" s="402"/>
      <c r="C182" s="612" t="s">
        <v>361</v>
      </c>
      <c r="D182" s="612"/>
      <c r="E182" s="612"/>
      <c r="F182" s="612"/>
      <c r="G182" s="612"/>
      <c r="H182" s="612"/>
      <c r="I182" s="612"/>
      <c r="J182" s="612"/>
      <c r="K182" s="612"/>
      <c r="L182" s="613"/>
      <c r="M182" s="730">
        <f>P42</f>
        <v>0</v>
      </c>
      <c r="N182" s="730"/>
      <c r="O182" s="730"/>
      <c r="P182" s="730"/>
      <c r="Q182" s="730"/>
      <c r="R182" s="730"/>
      <c r="S182" s="730"/>
      <c r="T182" s="730"/>
      <c r="V182" s="2"/>
      <c r="W182" s="2"/>
      <c r="X182" s="2"/>
      <c r="Y182" s="371"/>
      <c r="Z182" s="386">
        <f t="shared" si="16"/>
        <v>1</v>
      </c>
      <c r="AA182" s="380">
        <v>0</v>
      </c>
      <c r="AB182" s="380">
        <v>0</v>
      </c>
      <c r="AC182" s="379">
        <v>1</v>
      </c>
      <c r="AD182" s="379">
        <v>1</v>
      </c>
      <c r="AE182" s="379">
        <v>1</v>
      </c>
      <c r="AF182" s="379"/>
      <c r="AG182" s="380">
        <v>0</v>
      </c>
      <c r="AH182" s="380">
        <v>0</v>
      </c>
      <c r="AI182" s="380">
        <v>0</v>
      </c>
      <c r="AJ182" s="380">
        <v>0</v>
      </c>
      <c r="AL182" s="366"/>
    </row>
    <row r="183" spans="1:39" s="1" customFormat="1" ht="12.75" customHeight="1" x14ac:dyDescent="0.25">
      <c r="A183" s="355">
        <f t="shared" si="17"/>
        <v>4</v>
      </c>
      <c r="B183" s="402"/>
      <c r="C183" s="612" t="s">
        <v>359</v>
      </c>
      <c r="D183" s="612"/>
      <c r="E183" s="612"/>
      <c r="F183" s="612"/>
      <c r="G183" s="612"/>
      <c r="H183" s="612"/>
      <c r="I183" s="612"/>
      <c r="J183" s="612"/>
      <c r="K183" s="612"/>
      <c r="L183" s="613"/>
      <c r="M183" s="728"/>
      <c r="N183" s="728"/>
      <c r="O183" s="728"/>
      <c r="P183" s="728"/>
      <c r="Q183" s="728"/>
      <c r="R183" s="728"/>
      <c r="S183" s="728"/>
      <c r="T183" s="728"/>
      <c r="U183" s="360" t="s">
        <v>238</v>
      </c>
      <c r="V183" s="2"/>
      <c r="W183" s="2"/>
      <c r="X183" s="2"/>
      <c r="Y183" s="371"/>
      <c r="Z183" s="386">
        <f t="shared" si="16"/>
        <v>1</v>
      </c>
      <c r="AA183" s="380">
        <v>0</v>
      </c>
      <c r="AB183" s="380">
        <v>0</v>
      </c>
      <c r="AC183" s="380">
        <v>0</v>
      </c>
      <c r="AD183" s="379">
        <v>1</v>
      </c>
      <c r="AE183" s="379">
        <v>1</v>
      </c>
      <c r="AF183" s="379"/>
      <c r="AG183" s="380">
        <v>0</v>
      </c>
      <c r="AH183" s="380">
        <v>0</v>
      </c>
      <c r="AI183" s="380">
        <v>0</v>
      </c>
      <c r="AJ183" s="380">
        <v>0</v>
      </c>
      <c r="AL183" s="366"/>
    </row>
    <row r="184" spans="1:39" s="1" customFormat="1" ht="12.75" customHeight="1" x14ac:dyDescent="0.25">
      <c r="A184" s="355">
        <f t="shared" si="17"/>
        <v>5</v>
      </c>
      <c r="B184" s="402"/>
      <c r="C184" s="612" t="s">
        <v>386</v>
      </c>
      <c r="D184" s="612"/>
      <c r="E184" s="612"/>
      <c r="F184" s="612"/>
      <c r="G184" s="612"/>
      <c r="H184" s="612"/>
      <c r="I184" s="612"/>
      <c r="J184" s="612"/>
      <c r="K184" s="612"/>
      <c r="L184" s="613"/>
      <c r="M184" s="728"/>
      <c r="N184" s="728"/>
      <c r="O184" s="728"/>
      <c r="P184" s="728"/>
      <c r="Q184" s="728"/>
      <c r="R184" s="728"/>
      <c r="S184" s="728"/>
      <c r="T184" s="728"/>
      <c r="U184" s="360" t="s">
        <v>238</v>
      </c>
      <c r="V184" s="2"/>
      <c r="W184" s="2"/>
      <c r="X184" s="2"/>
      <c r="Y184" s="371"/>
      <c r="Z184" s="386">
        <f t="shared" si="16"/>
        <v>1</v>
      </c>
      <c r="AA184" s="380">
        <v>0</v>
      </c>
      <c r="AB184" s="380">
        <v>0</v>
      </c>
      <c r="AC184" s="380">
        <v>0</v>
      </c>
      <c r="AD184" s="379">
        <v>1</v>
      </c>
      <c r="AE184" s="379">
        <v>1</v>
      </c>
      <c r="AF184" s="379"/>
      <c r="AG184" s="380">
        <v>0</v>
      </c>
      <c r="AH184" s="380">
        <v>0</v>
      </c>
      <c r="AI184" s="380">
        <v>0</v>
      </c>
      <c r="AJ184" s="380">
        <v>0</v>
      </c>
      <c r="AL184" s="366"/>
    </row>
    <row r="185" spans="1:39" s="1" customFormat="1" ht="12.75" customHeight="1" x14ac:dyDescent="0.25">
      <c r="A185" s="355">
        <f t="shared" si="17"/>
        <v>6</v>
      </c>
      <c r="B185" s="402"/>
      <c r="C185" s="612" t="s">
        <v>101</v>
      </c>
      <c r="D185" s="612"/>
      <c r="E185" s="612"/>
      <c r="F185" s="612"/>
      <c r="G185" s="612"/>
      <c r="H185" s="612"/>
      <c r="I185" s="612"/>
      <c r="J185" s="612"/>
      <c r="K185" s="612"/>
      <c r="L185" s="613"/>
      <c r="M185" s="729" t="s">
        <v>751</v>
      </c>
      <c r="N185" s="729"/>
      <c r="O185" s="729"/>
      <c r="P185" s="729"/>
      <c r="Q185" s="729"/>
      <c r="R185" s="729"/>
      <c r="S185" s="729"/>
      <c r="T185" s="729"/>
      <c r="V185" s="2"/>
      <c r="W185" s="2"/>
      <c r="X185" s="363"/>
      <c r="Y185" s="371"/>
      <c r="Z185" s="386">
        <f t="shared" si="16"/>
        <v>1</v>
      </c>
      <c r="AA185" s="380">
        <v>0</v>
      </c>
      <c r="AB185" s="380">
        <v>0</v>
      </c>
      <c r="AC185" s="380">
        <v>0</v>
      </c>
      <c r="AD185" s="379">
        <v>0</v>
      </c>
      <c r="AE185" s="379">
        <v>1</v>
      </c>
      <c r="AF185" s="379"/>
      <c r="AG185" s="380">
        <v>0</v>
      </c>
      <c r="AH185" s="380">
        <v>0</v>
      </c>
      <c r="AI185" s="380">
        <v>0</v>
      </c>
      <c r="AJ185" s="380">
        <v>0</v>
      </c>
      <c r="AL185" s="366"/>
    </row>
    <row r="186" spans="1:39" s="1" customFormat="1" ht="12.75" customHeight="1" x14ac:dyDescent="0.25">
      <c r="A186" s="369">
        <f t="shared" si="17"/>
        <v>7</v>
      </c>
      <c r="B186" s="402"/>
      <c r="C186" s="612" t="s">
        <v>137</v>
      </c>
      <c r="D186" s="612"/>
      <c r="E186" s="612"/>
      <c r="F186" s="612"/>
      <c r="G186" s="612"/>
      <c r="H186" s="612"/>
      <c r="I186" s="612"/>
      <c r="J186" s="612"/>
      <c r="K186" s="612"/>
      <c r="L186" s="613"/>
      <c r="M186" s="732">
        <f>U42</f>
        <v>0</v>
      </c>
      <c r="N186" s="733"/>
      <c r="O186" s="362"/>
      <c r="P186" s="9"/>
      <c r="Q186" s="2"/>
      <c r="R186" s="2"/>
      <c r="S186" s="2"/>
      <c r="V186" s="2"/>
      <c r="W186" s="2"/>
      <c r="X186" s="9"/>
      <c r="Y186" s="371"/>
      <c r="Z186" s="386">
        <f t="shared" si="16"/>
        <v>1</v>
      </c>
      <c r="AA186" s="380">
        <v>0</v>
      </c>
      <c r="AB186" s="380">
        <v>1</v>
      </c>
      <c r="AC186" s="379">
        <v>1</v>
      </c>
      <c r="AD186" s="379">
        <v>1</v>
      </c>
      <c r="AE186" s="379">
        <v>1</v>
      </c>
      <c r="AF186" s="379"/>
      <c r="AG186" s="380">
        <v>0</v>
      </c>
      <c r="AH186" s="380">
        <v>0</v>
      </c>
      <c r="AI186" s="380">
        <v>0</v>
      </c>
      <c r="AJ186" s="380">
        <v>0</v>
      </c>
      <c r="AL186" s="366"/>
    </row>
    <row r="187" spans="1:39" s="1" customFormat="1" ht="12.75" customHeight="1" x14ac:dyDescent="0.25">
      <c r="A187" s="369">
        <f t="shared" si="17"/>
        <v>8</v>
      </c>
      <c r="B187" s="402"/>
      <c r="C187" s="612" t="s">
        <v>155</v>
      </c>
      <c r="D187" s="612"/>
      <c r="E187" s="612"/>
      <c r="F187" s="612"/>
      <c r="G187" s="612"/>
      <c r="H187" s="612"/>
      <c r="I187" s="612"/>
      <c r="J187" s="612"/>
      <c r="K187" s="612"/>
      <c r="L187" s="613"/>
      <c r="M187" s="734">
        <f>S42</f>
        <v>0</v>
      </c>
      <c r="N187" s="735"/>
      <c r="O187" s="598" t="s">
        <v>376</v>
      </c>
      <c r="P187" s="599"/>
      <c r="Q187" s="600"/>
      <c r="R187" s="360" t="s">
        <v>238</v>
      </c>
      <c r="S187" s="2"/>
      <c r="T187" s="2"/>
      <c r="U187" s="2"/>
      <c r="V187" s="2"/>
      <c r="W187" s="2"/>
      <c r="X187" s="9"/>
      <c r="Y187" s="371"/>
      <c r="Z187" s="386">
        <f t="shared" si="16"/>
        <v>1</v>
      </c>
      <c r="AA187" s="380">
        <v>0</v>
      </c>
      <c r="AB187" s="380">
        <v>1</v>
      </c>
      <c r="AC187" s="379">
        <v>1</v>
      </c>
      <c r="AD187" s="379">
        <v>1</v>
      </c>
      <c r="AE187" s="379">
        <v>1</v>
      </c>
      <c r="AF187" s="379"/>
      <c r="AG187" s="380">
        <v>0</v>
      </c>
      <c r="AH187" s="380">
        <v>0</v>
      </c>
      <c r="AI187" s="380">
        <v>0</v>
      </c>
      <c r="AJ187" s="380">
        <v>0</v>
      </c>
      <c r="AL187" s="366"/>
    </row>
    <row r="188" spans="1:39" s="1" customFormat="1" ht="12.75" customHeight="1" x14ac:dyDescent="0.25">
      <c r="A188" s="369">
        <f t="shared" si="17"/>
        <v>9</v>
      </c>
      <c r="B188" s="402"/>
      <c r="C188" s="612" t="s">
        <v>138</v>
      </c>
      <c r="D188" s="612"/>
      <c r="E188" s="612"/>
      <c r="F188" s="612"/>
      <c r="G188" s="612"/>
      <c r="H188" s="612"/>
      <c r="I188" s="612"/>
      <c r="J188" s="612"/>
      <c r="K188" s="612"/>
      <c r="L188" s="613"/>
      <c r="M188" s="734">
        <f>W42</f>
        <v>0</v>
      </c>
      <c r="N188" s="735"/>
      <c r="O188" s="581" t="s">
        <v>410</v>
      </c>
      <c r="P188" s="582"/>
      <c r="Q188" s="583"/>
      <c r="R188" s="643"/>
      <c r="S188" s="643"/>
      <c r="T188" s="643"/>
      <c r="U188" s="643"/>
      <c r="V188" s="643"/>
      <c r="W188" s="643"/>
      <c r="X188" s="643"/>
      <c r="Y188" s="371"/>
      <c r="Z188" s="386">
        <f t="shared" si="16"/>
        <v>1</v>
      </c>
      <c r="AA188" s="380">
        <v>0</v>
      </c>
      <c r="AB188" s="380">
        <v>1</v>
      </c>
      <c r="AC188" s="379">
        <v>1</v>
      </c>
      <c r="AD188" s="379">
        <v>1</v>
      </c>
      <c r="AE188" s="379">
        <v>1</v>
      </c>
      <c r="AF188" s="379"/>
      <c r="AG188" s="380">
        <v>0</v>
      </c>
      <c r="AH188" s="380">
        <v>0</v>
      </c>
      <c r="AI188" s="380">
        <v>0</v>
      </c>
      <c r="AJ188" s="380">
        <v>0</v>
      </c>
      <c r="AL188" s="366"/>
    </row>
    <row r="189" spans="1:39" s="1" customFormat="1" ht="12.75" customHeight="1" x14ac:dyDescent="0.25">
      <c r="A189" s="369">
        <f t="shared" si="17"/>
        <v>10</v>
      </c>
      <c r="B189" s="402"/>
      <c r="C189" s="612" t="s">
        <v>139</v>
      </c>
      <c r="D189" s="612"/>
      <c r="E189" s="612"/>
      <c r="F189" s="612"/>
      <c r="G189" s="612"/>
      <c r="H189" s="612"/>
      <c r="I189" s="612"/>
      <c r="J189" s="612"/>
      <c r="K189" s="582" t="s">
        <v>552</v>
      </c>
      <c r="L189" s="582"/>
      <c r="M189" s="731" t="e">
        <f>S43</f>
        <v>#DIV/0!</v>
      </c>
      <c r="N189" s="731"/>
      <c r="O189" s="598" t="s">
        <v>557</v>
      </c>
      <c r="P189" s="599"/>
      <c r="Q189" s="600"/>
      <c r="R189" s="360" t="s">
        <v>238</v>
      </c>
      <c r="S189" s="2"/>
      <c r="T189" s="2"/>
      <c r="U189" s="635" t="s">
        <v>551</v>
      </c>
      <c r="V189" s="636"/>
      <c r="W189" s="736" t="e">
        <f>W43</f>
        <v>#DIV/0!</v>
      </c>
      <c r="X189" s="737"/>
      <c r="Y189" s="371"/>
      <c r="Z189" s="386">
        <f t="shared" si="16"/>
        <v>1</v>
      </c>
      <c r="AA189" s="380">
        <v>0</v>
      </c>
      <c r="AB189" s="380">
        <v>1</v>
      </c>
      <c r="AC189" s="379">
        <v>1</v>
      </c>
      <c r="AD189" s="379">
        <v>1</v>
      </c>
      <c r="AE189" s="379">
        <v>1</v>
      </c>
      <c r="AF189" s="379"/>
      <c r="AG189" s="380">
        <v>0</v>
      </c>
      <c r="AH189" s="380">
        <v>0</v>
      </c>
      <c r="AI189" s="380">
        <v>0</v>
      </c>
      <c r="AJ189" s="380">
        <v>0</v>
      </c>
      <c r="AL189" s="366"/>
    </row>
    <row r="190" spans="1:39" s="1" customFormat="1" ht="12.75" customHeight="1" x14ac:dyDescent="0.25">
      <c r="A190" s="369">
        <f t="shared" si="17"/>
        <v>11</v>
      </c>
      <c r="B190" s="402"/>
      <c r="C190" s="612" t="s">
        <v>375</v>
      </c>
      <c r="D190" s="612"/>
      <c r="E190" s="612"/>
      <c r="F190" s="612"/>
      <c r="G190" s="612"/>
      <c r="H190" s="612"/>
      <c r="I190" s="612"/>
      <c r="J190" s="612"/>
      <c r="K190" s="612"/>
      <c r="L190" s="613"/>
      <c r="M190" s="620" t="s">
        <v>238</v>
      </c>
      <c r="N190" s="620"/>
      <c r="O190" s="582" t="s">
        <v>469</v>
      </c>
      <c r="P190" s="583"/>
      <c r="Q190" s="580"/>
      <c r="R190" s="580"/>
      <c r="S190" s="580"/>
      <c r="T190" s="580"/>
      <c r="U190" s="580"/>
      <c r="V190" s="580"/>
      <c r="W190" s="580"/>
      <c r="X190" s="580"/>
      <c r="Y190" s="371"/>
      <c r="Z190" s="386">
        <f t="shared" si="16"/>
        <v>1</v>
      </c>
      <c r="AA190" s="380">
        <v>0</v>
      </c>
      <c r="AB190" s="380">
        <v>0</v>
      </c>
      <c r="AC190" s="379">
        <v>1</v>
      </c>
      <c r="AD190" s="379">
        <v>1</v>
      </c>
      <c r="AE190" s="379">
        <v>1</v>
      </c>
      <c r="AF190" s="379"/>
      <c r="AG190" s="380">
        <v>0</v>
      </c>
      <c r="AH190" s="380">
        <v>0</v>
      </c>
      <c r="AI190" s="380">
        <v>0</v>
      </c>
      <c r="AJ190" s="380">
        <v>0</v>
      </c>
      <c r="AL190" s="1" t="s">
        <v>192</v>
      </c>
    </row>
    <row r="191" spans="1:39" s="1" customFormat="1" ht="12.75" customHeight="1" x14ac:dyDescent="0.25">
      <c r="A191" s="369">
        <f t="shared" si="17"/>
        <v>12</v>
      </c>
      <c r="B191" s="402"/>
      <c r="C191" s="722" t="s">
        <v>413</v>
      </c>
      <c r="D191" s="722"/>
      <c r="E191" s="722"/>
      <c r="F191" s="722"/>
      <c r="G191" s="722"/>
      <c r="H191" s="722"/>
      <c r="I191" s="722"/>
      <c r="J191" s="722"/>
      <c r="K191" s="722"/>
      <c r="L191" s="723"/>
      <c r="M191" s="360" t="s">
        <v>238</v>
      </c>
      <c r="N191" s="2"/>
      <c r="O191" s="582" t="s">
        <v>469</v>
      </c>
      <c r="P191" s="583"/>
      <c r="Q191" s="580"/>
      <c r="R191" s="580"/>
      <c r="S191" s="580"/>
      <c r="T191" s="580"/>
      <c r="U191" s="580"/>
      <c r="V191" s="580"/>
      <c r="W191" s="580"/>
      <c r="X191" s="580"/>
      <c r="Y191" s="371"/>
      <c r="Z191" s="386">
        <f t="shared" si="16"/>
        <v>1</v>
      </c>
      <c r="AA191" s="380">
        <v>0</v>
      </c>
      <c r="AB191" s="380">
        <v>0</v>
      </c>
      <c r="AC191" s="379">
        <v>1</v>
      </c>
      <c r="AD191" s="379">
        <v>1</v>
      </c>
      <c r="AE191" s="379">
        <v>1</v>
      </c>
      <c r="AF191" s="379"/>
      <c r="AG191" s="380">
        <v>0</v>
      </c>
      <c r="AH191" s="380">
        <v>0</v>
      </c>
      <c r="AI191" s="380">
        <v>0</v>
      </c>
      <c r="AJ191" s="380">
        <v>0</v>
      </c>
      <c r="AL191" s="1" t="s">
        <v>193</v>
      </c>
    </row>
    <row r="192" spans="1:39" s="1" customFormat="1" ht="12.75" customHeight="1" x14ac:dyDescent="0.25">
      <c r="A192" s="369">
        <f t="shared" si="17"/>
        <v>13</v>
      </c>
      <c r="B192" s="402"/>
      <c r="C192" s="612" t="s">
        <v>38</v>
      </c>
      <c r="D192" s="612"/>
      <c r="E192" s="612"/>
      <c r="F192" s="612"/>
      <c r="G192" s="612"/>
      <c r="H192" s="612"/>
      <c r="I192" s="612"/>
      <c r="J192" s="612"/>
      <c r="K192" s="612"/>
      <c r="L192" s="613"/>
      <c r="M192" s="620" t="s">
        <v>238</v>
      </c>
      <c r="N192" s="620"/>
      <c r="O192" s="582" t="s">
        <v>469</v>
      </c>
      <c r="P192" s="583"/>
      <c r="Q192" s="580"/>
      <c r="R192" s="580"/>
      <c r="S192" s="580"/>
      <c r="T192" s="580"/>
      <c r="U192" s="580"/>
      <c r="V192" s="580"/>
      <c r="W192" s="580"/>
      <c r="X192" s="580"/>
      <c r="Y192" s="371"/>
      <c r="Z192" s="386">
        <f t="shared" si="16"/>
        <v>1</v>
      </c>
      <c r="AA192" s="380">
        <v>1</v>
      </c>
      <c r="AB192" s="380">
        <v>1</v>
      </c>
      <c r="AC192" s="379">
        <v>1</v>
      </c>
      <c r="AD192" s="379">
        <v>1</v>
      </c>
      <c r="AE192" s="379">
        <v>1</v>
      </c>
      <c r="AF192" s="379"/>
      <c r="AG192" s="380">
        <v>0</v>
      </c>
      <c r="AH192" s="380">
        <v>0</v>
      </c>
      <c r="AI192" s="380">
        <v>0</v>
      </c>
      <c r="AJ192" s="380">
        <v>0</v>
      </c>
      <c r="AL192" s="1" t="s">
        <v>753</v>
      </c>
    </row>
    <row r="193" spans="1:38" s="1" customFormat="1" ht="12.75" customHeight="1" x14ac:dyDescent="0.25">
      <c r="A193" s="369">
        <f t="shared" si="17"/>
        <v>14</v>
      </c>
      <c r="B193" s="410" t="s">
        <v>817</v>
      </c>
      <c r="C193" s="615" t="s">
        <v>377</v>
      </c>
      <c r="D193" s="612"/>
      <c r="E193" s="612"/>
      <c r="F193" s="612"/>
      <c r="G193" s="612"/>
      <c r="H193" s="612"/>
      <c r="I193" s="612"/>
      <c r="J193" s="612"/>
      <c r="K193" s="612"/>
      <c r="L193" s="613"/>
      <c r="M193" s="360" t="s">
        <v>238</v>
      </c>
      <c r="N193" s="2"/>
      <c r="O193" s="582" t="s">
        <v>469</v>
      </c>
      <c r="P193" s="583"/>
      <c r="Q193" s="580"/>
      <c r="R193" s="580"/>
      <c r="S193" s="580"/>
      <c r="T193" s="580"/>
      <c r="U193" s="580"/>
      <c r="V193" s="580"/>
      <c r="W193" s="580"/>
      <c r="X193" s="580"/>
      <c r="Y193" s="371"/>
      <c r="Z193" s="386">
        <f t="shared" si="16"/>
        <v>1</v>
      </c>
      <c r="AA193" s="380">
        <v>0</v>
      </c>
      <c r="AB193" s="380">
        <v>1</v>
      </c>
      <c r="AC193" s="379">
        <v>1</v>
      </c>
      <c r="AD193" s="379">
        <v>1</v>
      </c>
      <c r="AE193" s="379">
        <v>1</v>
      </c>
      <c r="AF193" s="379"/>
      <c r="AG193" s="380">
        <v>0</v>
      </c>
      <c r="AH193" s="380">
        <v>0</v>
      </c>
      <c r="AI193" s="380">
        <v>0</v>
      </c>
      <c r="AJ193" s="380">
        <v>0</v>
      </c>
      <c r="AL193" s="1" t="s">
        <v>238</v>
      </c>
    </row>
    <row r="194" spans="1:38" s="1" customFormat="1" ht="12.75" customHeight="1" x14ac:dyDescent="0.25">
      <c r="A194" s="369">
        <f t="shared" si="17"/>
        <v>15</v>
      </c>
      <c r="B194" s="402"/>
      <c r="C194" s="615" t="s">
        <v>522</v>
      </c>
      <c r="D194" s="615"/>
      <c r="E194" s="615"/>
      <c r="F194" s="615"/>
      <c r="G194" s="615"/>
      <c r="H194" s="615"/>
      <c r="I194" s="615"/>
      <c r="J194" s="615"/>
      <c r="K194" s="615"/>
      <c r="L194" s="613"/>
      <c r="M194" s="620" t="s">
        <v>238</v>
      </c>
      <c r="N194" s="620"/>
      <c r="O194" s="582" t="s">
        <v>469</v>
      </c>
      <c r="P194" s="583"/>
      <c r="Q194" s="580"/>
      <c r="R194" s="580"/>
      <c r="S194" s="580"/>
      <c r="T194" s="580"/>
      <c r="U194" s="580"/>
      <c r="V194" s="580"/>
      <c r="W194" s="580"/>
      <c r="X194" s="580"/>
      <c r="Y194" s="371"/>
      <c r="Z194" s="386">
        <f t="shared" si="16"/>
        <v>1</v>
      </c>
      <c r="AA194" s="380">
        <v>0</v>
      </c>
      <c r="AB194" s="380">
        <v>1</v>
      </c>
      <c r="AC194" s="379">
        <v>1</v>
      </c>
      <c r="AD194" s="379">
        <v>1</v>
      </c>
      <c r="AE194" s="379">
        <v>1</v>
      </c>
      <c r="AF194" s="379"/>
      <c r="AG194" s="380">
        <v>0</v>
      </c>
      <c r="AH194" s="380">
        <v>0</v>
      </c>
      <c r="AI194" s="380">
        <v>0</v>
      </c>
      <c r="AJ194" s="380">
        <v>0</v>
      </c>
      <c r="AL194" s="1" t="s">
        <v>39</v>
      </c>
    </row>
    <row r="195" spans="1:38" s="1" customFormat="1" ht="12.75" customHeight="1" x14ac:dyDescent="0.25">
      <c r="A195" s="369">
        <f t="shared" si="17"/>
        <v>16</v>
      </c>
      <c r="B195" s="402"/>
      <c r="C195" s="615" t="s">
        <v>525</v>
      </c>
      <c r="D195" s="615"/>
      <c r="E195" s="615"/>
      <c r="F195" s="615"/>
      <c r="G195" s="615"/>
      <c r="H195" s="615"/>
      <c r="I195" s="615"/>
      <c r="J195" s="615"/>
      <c r="K195" s="615"/>
      <c r="L195" s="615"/>
      <c r="M195" s="580"/>
      <c r="N195" s="580"/>
      <c r="O195" s="580"/>
      <c r="P195" s="580"/>
      <c r="Q195" s="580"/>
      <c r="R195" s="580"/>
      <c r="S195" s="580"/>
      <c r="T195" s="580"/>
      <c r="U195" s="580"/>
      <c r="V195" s="580"/>
      <c r="W195" s="580"/>
      <c r="X195" s="580"/>
      <c r="Y195" s="371"/>
      <c r="Z195" s="386">
        <f t="shared" si="16"/>
        <v>1</v>
      </c>
      <c r="AA195" s="380">
        <v>0</v>
      </c>
      <c r="AB195" s="380">
        <v>1</v>
      </c>
      <c r="AC195" s="379">
        <v>1</v>
      </c>
      <c r="AD195" s="379">
        <v>1</v>
      </c>
      <c r="AE195" s="379">
        <v>1</v>
      </c>
      <c r="AF195" s="379"/>
      <c r="AG195" s="380">
        <v>0</v>
      </c>
      <c r="AH195" s="380">
        <v>0</v>
      </c>
      <c r="AI195" s="380">
        <v>0</v>
      </c>
      <c r="AJ195" s="380">
        <v>0</v>
      </c>
      <c r="AL195" s="1" t="s">
        <v>40</v>
      </c>
    </row>
    <row r="196" spans="1:38" s="1" customFormat="1" ht="12.75" customHeight="1" x14ac:dyDescent="0.2">
      <c r="A196" s="369">
        <f t="shared" si="17"/>
        <v>17</v>
      </c>
      <c r="B196" s="402"/>
      <c r="C196" s="615" t="s">
        <v>167</v>
      </c>
      <c r="D196" s="615"/>
      <c r="E196" s="615"/>
      <c r="F196" s="615"/>
      <c r="G196" s="615"/>
      <c r="H196" s="615"/>
      <c r="I196" s="615"/>
      <c r="J196" s="615"/>
      <c r="K196" s="615"/>
      <c r="L196" s="615"/>
      <c r="M196" s="696"/>
      <c r="N196" s="738"/>
      <c r="O196" s="362"/>
      <c r="P196" s="9"/>
      <c r="Y196" s="371"/>
      <c r="Z196" s="386">
        <f t="shared" si="16"/>
        <v>1</v>
      </c>
      <c r="AA196" s="380">
        <v>0</v>
      </c>
      <c r="AB196" s="380">
        <v>0</v>
      </c>
      <c r="AC196" s="379">
        <v>1</v>
      </c>
      <c r="AD196" s="379">
        <v>1</v>
      </c>
      <c r="AE196" s="379">
        <v>1</v>
      </c>
      <c r="AF196" s="379"/>
      <c r="AG196" s="380">
        <v>0</v>
      </c>
      <c r="AH196" s="380">
        <v>0</v>
      </c>
      <c r="AI196" s="380">
        <v>0</v>
      </c>
      <c r="AJ196" s="380">
        <v>0</v>
      </c>
      <c r="AL196" s="1" t="s">
        <v>753</v>
      </c>
    </row>
    <row r="197" spans="1:38" s="1" customFormat="1" ht="12.75" customHeight="1" x14ac:dyDescent="0.2">
      <c r="A197" s="369">
        <f t="shared" si="17"/>
        <v>18</v>
      </c>
      <c r="B197" s="402"/>
      <c r="C197" s="615" t="s">
        <v>526</v>
      </c>
      <c r="D197" s="615"/>
      <c r="E197" s="615"/>
      <c r="F197" s="615"/>
      <c r="G197" s="615"/>
      <c r="H197" s="615"/>
      <c r="I197" s="615"/>
      <c r="J197" s="615"/>
      <c r="K197" s="615"/>
      <c r="L197" s="615"/>
      <c r="M197" s="627"/>
      <c r="N197" s="727"/>
      <c r="O197" s="598" t="s">
        <v>528</v>
      </c>
      <c r="P197" s="599"/>
      <c r="Q197" s="600"/>
      <c r="R197" s="360" t="s">
        <v>238</v>
      </c>
      <c r="S197" s="2"/>
      <c r="T197" s="2"/>
      <c r="U197" s="2"/>
      <c r="Y197" s="371"/>
      <c r="Z197" s="386">
        <f t="shared" si="16"/>
        <v>1</v>
      </c>
      <c r="AA197" s="380">
        <v>0</v>
      </c>
      <c r="AB197" s="380">
        <v>0</v>
      </c>
      <c r="AC197" s="379">
        <v>1</v>
      </c>
      <c r="AD197" s="379">
        <v>1</v>
      </c>
      <c r="AE197" s="379">
        <v>1</v>
      </c>
      <c r="AF197" s="379"/>
      <c r="AG197" s="380">
        <v>0</v>
      </c>
      <c r="AH197" s="380">
        <v>0</v>
      </c>
      <c r="AI197" s="380">
        <v>0</v>
      </c>
      <c r="AJ197" s="380">
        <v>0</v>
      </c>
      <c r="AL197" s="1" t="s">
        <v>238</v>
      </c>
    </row>
    <row r="198" spans="1:38" s="1" customFormat="1" ht="12.75" customHeight="1" x14ac:dyDescent="0.25">
      <c r="A198" s="369">
        <f t="shared" si="17"/>
        <v>19</v>
      </c>
      <c r="B198" s="402"/>
      <c r="C198" s="615" t="s">
        <v>527</v>
      </c>
      <c r="D198" s="615"/>
      <c r="E198" s="615"/>
      <c r="F198" s="615"/>
      <c r="G198" s="615"/>
      <c r="H198" s="615"/>
      <c r="I198" s="615"/>
      <c r="J198" s="615"/>
      <c r="K198" s="615"/>
      <c r="L198" s="615"/>
      <c r="M198" s="580"/>
      <c r="N198" s="580"/>
      <c r="O198" s="580"/>
      <c r="P198" s="580"/>
      <c r="Q198" s="580"/>
      <c r="R198" s="580"/>
      <c r="S198" s="580"/>
      <c r="T198" s="580"/>
      <c r="U198" s="580"/>
      <c r="V198" s="580"/>
      <c r="W198" s="580"/>
      <c r="X198" s="580"/>
      <c r="Y198" s="371"/>
      <c r="Z198" s="386">
        <f t="shared" si="16"/>
        <v>1</v>
      </c>
      <c r="AA198" s="380">
        <v>0</v>
      </c>
      <c r="AB198" s="380">
        <v>0</v>
      </c>
      <c r="AC198" s="379">
        <v>1</v>
      </c>
      <c r="AD198" s="379">
        <v>1</v>
      </c>
      <c r="AE198" s="379">
        <v>1</v>
      </c>
      <c r="AF198" s="379"/>
      <c r="AG198" s="380">
        <v>0</v>
      </c>
      <c r="AH198" s="380">
        <v>0</v>
      </c>
      <c r="AI198" s="380">
        <v>0</v>
      </c>
      <c r="AJ198" s="380">
        <v>0</v>
      </c>
      <c r="AL198" s="1" t="s">
        <v>523</v>
      </c>
    </row>
    <row r="199" spans="1:38" s="1" customFormat="1" ht="12.75" customHeight="1" x14ac:dyDescent="0.25">
      <c r="A199" s="369">
        <f t="shared" si="17"/>
        <v>20</v>
      </c>
      <c r="B199" s="402"/>
      <c r="C199" s="578" t="s">
        <v>511</v>
      </c>
      <c r="D199" s="578"/>
      <c r="E199" s="578"/>
      <c r="F199" s="578"/>
      <c r="G199" s="578"/>
      <c r="H199" s="578"/>
      <c r="I199" s="578"/>
      <c r="J199" s="578"/>
      <c r="K199" s="578"/>
      <c r="L199" s="579"/>
      <c r="M199" s="620" t="s">
        <v>509</v>
      </c>
      <c r="N199" s="620"/>
      <c r="O199" s="582" t="s">
        <v>469</v>
      </c>
      <c r="P199" s="583"/>
      <c r="Q199" s="580"/>
      <c r="R199" s="580"/>
      <c r="S199" s="580"/>
      <c r="T199" s="580"/>
      <c r="U199" s="580"/>
      <c r="V199" s="580"/>
      <c r="W199" s="580"/>
      <c r="X199" s="580"/>
      <c r="Y199" s="371"/>
      <c r="Z199" s="386">
        <f t="shared" si="16"/>
        <v>1</v>
      </c>
      <c r="AA199" s="380">
        <v>0</v>
      </c>
      <c r="AB199" s="380">
        <v>1</v>
      </c>
      <c r="AC199" s="379">
        <v>1</v>
      </c>
      <c r="AD199" s="379">
        <v>1</v>
      </c>
      <c r="AE199" s="379">
        <v>1</v>
      </c>
      <c r="AF199" s="379"/>
      <c r="AG199" s="380">
        <v>0</v>
      </c>
      <c r="AH199" s="380">
        <v>0</v>
      </c>
      <c r="AI199" s="380">
        <v>0</v>
      </c>
      <c r="AJ199" s="380">
        <v>0</v>
      </c>
      <c r="AL199" s="1" t="s">
        <v>524</v>
      </c>
    </row>
    <row r="200" spans="1:38" s="1" customFormat="1" ht="12.75" customHeight="1" x14ac:dyDescent="0.25">
      <c r="A200" s="369">
        <f t="shared" si="17"/>
        <v>21</v>
      </c>
      <c r="B200" s="402"/>
      <c r="C200" s="612" t="s">
        <v>325</v>
      </c>
      <c r="D200" s="612"/>
      <c r="E200" s="612"/>
      <c r="F200" s="612"/>
      <c r="G200" s="612"/>
      <c r="H200" s="612"/>
      <c r="I200" s="612"/>
      <c r="J200" s="612"/>
      <c r="K200" s="612"/>
      <c r="L200" s="613"/>
      <c r="M200" s="719"/>
      <c r="N200" s="720"/>
      <c r="Q200" s="362"/>
      <c r="R200" s="2"/>
      <c r="S200" s="2"/>
      <c r="T200" s="2"/>
      <c r="U200" s="2"/>
      <c r="V200" s="2"/>
      <c r="W200" s="2"/>
      <c r="X200" s="7"/>
      <c r="Y200" s="371"/>
      <c r="Z200" s="386">
        <f t="shared" si="16"/>
        <v>1</v>
      </c>
      <c r="AA200" s="380">
        <v>0</v>
      </c>
      <c r="AB200" s="380">
        <v>0</v>
      </c>
      <c r="AC200" s="379">
        <v>1</v>
      </c>
      <c r="AD200" s="379">
        <v>1</v>
      </c>
      <c r="AE200" s="379">
        <v>1</v>
      </c>
      <c r="AF200" s="379"/>
      <c r="AG200" s="380">
        <v>0</v>
      </c>
      <c r="AH200" s="380">
        <v>0</v>
      </c>
      <c r="AI200" s="380">
        <v>0</v>
      </c>
      <c r="AJ200" s="380">
        <v>0</v>
      </c>
      <c r="AL200" s="1" t="s">
        <v>753</v>
      </c>
    </row>
    <row r="201" spans="1:38" s="1" customFormat="1" ht="12.75" customHeight="1" x14ac:dyDescent="0.25">
      <c r="A201" s="369">
        <f t="shared" si="17"/>
        <v>22</v>
      </c>
      <c r="B201" s="402"/>
      <c r="C201" s="612" t="s">
        <v>191</v>
      </c>
      <c r="D201" s="612"/>
      <c r="E201" s="612"/>
      <c r="F201" s="612"/>
      <c r="G201" s="612"/>
      <c r="H201" s="612"/>
      <c r="I201" s="612"/>
      <c r="J201" s="612"/>
      <c r="K201" s="612"/>
      <c r="L201" s="613"/>
      <c r="M201" s="685" t="e">
        <f>IF(M199="Interno",M200/(IF(J59="x",O43*U41,W41)),"NA")</f>
        <v>#DIV/0!</v>
      </c>
      <c r="N201" s="686"/>
      <c r="O201" s="598" t="s">
        <v>381</v>
      </c>
      <c r="P201" s="599"/>
      <c r="Q201" s="600"/>
      <c r="R201" s="360" t="s">
        <v>238</v>
      </c>
      <c r="S201" s="2"/>
      <c r="T201" s="2"/>
      <c r="U201" s="2"/>
      <c r="V201" s="2"/>
      <c r="W201" s="2"/>
      <c r="X201" s="7"/>
      <c r="Y201" s="371"/>
      <c r="Z201" s="386">
        <f t="shared" si="16"/>
        <v>1</v>
      </c>
      <c r="AA201" s="380">
        <v>0</v>
      </c>
      <c r="AB201" s="380">
        <v>0</v>
      </c>
      <c r="AC201" s="379">
        <v>1</v>
      </c>
      <c r="AD201" s="379">
        <v>1</v>
      </c>
      <c r="AE201" s="379">
        <v>1</v>
      </c>
      <c r="AF201" s="379"/>
      <c r="AG201" s="380">
        <v>0</v>
      </c>
      <c r="AH201" s="380">
        <v>0</v>
      </c>
      <c r="AI201" s="380">
        <v>0</v>
      </c>
      <c r="AJ201" s="380">
        <v>0</v>
      </c>
      <c r="AL201" s="1" t="s">
        <v>238</v>
      </c>
    </row>
    <row r="202" spans="1:38" s="1" customFormat="1" x14ac:dyDescent="0.25">
      <c r="A202" s="369"/>
      <c r="B202" s="371"/>
      <c r="C202" s="721"/>
      <c r="D202" s="721"/>
      <c r="E202" s="721"/>
      <c r="F202" s="721"/>
      <c r="G202" s="721"/>
      <c r="H202" s="721"/>
      <c r="I202" s="721"/>
      <c r="J202" s="721"/>
      <c r="K202" s="721"/>
      <c r="L202" s="721"/>
      <c r="M202" s="721"/>
      <c r="N202" s="721"/>
      <c r="O202" s="721"/>
      <c r="P202" s="721"/>
      <c r="Q202" s="721"/>
      <c r="R202" s="721"/>
      <c r="S202" s="721"/>
      <c r="T202" s="721"/>
      <c r="U202" s="721"/>
      <c r="V202" s="721"/>
      <c r="W202" s="721"/>
      <c r="X202" s="721"/>
      <c r="Y202" s="371"/>
      <c r="Z202" s="386" t="s">
        <v>2</v>
      </c>
      <c r="AA202" s="379" t="s">
        <v>2</v>
      </c>
      <c r="AB202" s="379" t="s">
        <v>2</v>
      </c>
      <c r="AC202" s="379" t="s">
        <v>2</v>
      </c>
      <c r="AD202" s="379" t="s">
        <v>2</v>
      </c>
      <c r="AE202" s="379" t="s">
        <v>2</v>
      </c>
      <c r="AF202" s="379"/>
      <c r="AG202" s="379" t="s">
        <v>2</v>
      </c>
      <c r="AH202" s="379" t="s">
        <v>2</v>
      </c>
      <c r="AI202" s="379" t="s">
        <v>2</v>
      </c>
      <c r="AJ202" s="379" t="s">
        <v>2</v>
      </c>
      <c r="AL202" s="1" t="s">
        <v>509</v>
      </c>
    </row>
    <row r="203" spans="1:38" s="557" customFormat="1" ht="12.75" customHeight="1" x14ac:dyDescent="0.25">
      <c r="A203" s="556"/>
      <c r="B203" s="541" t="s">
        <v>704</v>
      </c>
      <c r="C203" s="637" t="s">
        <v>107</v>
      </c>
      <c r="D203" s="637"/>
      <c r="E203" s="637"/>
      <c r="F203" s="637"/>
      <c r="G203" s="637"/>
      <c r="H203" s="637"/>
      <c r="I203" s="637"/>
      <c r="J203" s="637"/>
      <c r="K203" s="637"/>
      <c r="L203" s="637"/>
      <c r="M203" s="637"/>
      <c r="N203" s="637"/>
      <c r="O203" s="637"/>
      <c r="P203" s="637"/>
      <c r="Q203" s="637"/>
      <c r="R203" s="637"/>
      <c r="S203" s="637"/>
      <c r="T203" s="637"/>
      <c r="U203" s="637"/>
      <c r="V203" s="637"/>
      <c r="W203" s="637"/>
      <c r="X203" s="637"/>
      <c r="Y203" s="556"/>
      <c r="Z203" s="546" t="s">
        <v>2</v>
      </c>
      <c r="AA203" s="548" t="s">
        <v>2</v>
      </c>
      <c r="AB203" s="548" t="s">
        <v>2</v>
      </c>
      <c r="AC203" s="548" t="s">
        <v>2</v>
      </c>
      <c r="AD203" s="548" t="s">
        <v>2</v>
      </c>
      <c r="AE203" s="548" t="s">
        <v>2</v>
      </c>
      <c r="AF203" s="548"/>
      <c r="AG203" s="548" t="s">
        <v>2</v>
      </c>
      <c r="AH203" s="548" t="s">
        <v>2</v>
      </c>
      <c r="AI203" s="548" t="s">
        <v>2</v>
      </c>
      <c r="AJ203" s="548" t="s">
        <v>2</v>
      </c>
      <c r="AL203" s="544" t="s">
        <v>510</v>
      </c>
    </row>
    <row r="204" spans="1:38" s="49" customFormat="1" ht="12.75" customHeight="1" x14ac:dyDescent="0.25">
      <c r="A204" s="43"/>
      <c r="B204" s="347"/>
      <c r="C204" s="364"/>
      <c r="D204" s="364"/>
      <c r="E204" s="364"/>
      <c r="F204" s="364"/>
      <c r="G204" s="364"/>
      <c r="H204" s="364"/>
      <c r="I204" s="364"/>
      <c r="J204" s="364"/>
      <c r="K204" s="364"/>
      <c r="L204" s="364"/>
      <c r="M204" s="364"/>
      <c r="N204" s="364"/>
      <c r="O204" s="364"/>
      <c r="P204" s="364"/>
      <c r="Q204" s="364"/>
      <c r="R204" s="364"/>
      <c r="S204" s="364"/>
      <c r="T204" s="364"/>
      <c r="U204" s="364"/>
      <c r="V204" s="364"/>
      <c r="W204" s="364"/>
      <c r="X204" s="364"/>
      <c r="Y204" s="43"/>
      <c r="Z204" s="386" t="s">
        <v>2</v>
      </c>
      <c r="AA204" s="379" t="s">
        <v>2</v>
      </c>
      <c r="AB204" s="379" t="s">
        <v>2</v>
      </c>
      <c r="AC204" s="379" t="s">
        <v>2</v>
      </c>
      <c r="AD204" s="379" t="s">
        <v>2</v>
      </c>
      <c r="AE204" s="379" t="s">
        <v>2</v>
      </c>
      <c r="AF204" s="379"/>
      <c r="AG204" s="379" t="s">
        <v>2</v>
      </c>
      <c r="AH204" s="379" t="s">
        <v>2</v>
      </c>
      <c r="AI204" s="379" t="s">
        <v>2</v>
      </c>
      <c r="AJ204" s="379" t="s">
        <v>2</v>
      </c>
      <c r="AL204" s="5" t="s">
        <v>721</v>
      </c>
    </row>
    <row r="205" spans="1:38" s="1" customFormat="1" ht="12.75" customHeight="1" x14ac:dyDescent="0.25">
      <c r="A205" s="369">
        <v>1</v>
      </c>
      <c r="B205" s="402"/>
      <c r="C205" s="612" t="s">
        <v>158</v>
      </c>
      <c r="D205" s="612"/>
      <c r="E205" s="612"/>
      <c r="F205" s="612"/>
      <c r="G205" s="612"/>
      <c r="H205" s="612"/>
      <c r="I205" s="612"/>
      <c r="J205" s="612"/>
      <c r="K205" s="612"/>
      <c r="L205" s="613"/>
      <c r="M205" s="620" t="s">
        <v>238</v>
      </c>
      <c r="N205" s="620"/>
      <c r="O205" s="582" t="s">
        <v>469</v>
      </c>
      <c r="P205" s="583"/>
      <c r="Q205" s="580"/>
      <c r="R205" s="580"/>
      <c r="S205" s="580"/>
      <c r="T205" s="580"/>
      <c r="U205" s="580"/>
      <c r="V205" s="580"/>
      <c r="W205" s="580"/>
      <c r="X205" s="580"/>
      <c r="Y205" s="371"/>
      <c r="Z205" s="386">
        <f t="shared" ref="Z205:Z232" si="18">IF(Z$3=0,0,IF(Z$3=1,AA205,IF(Z$3=2,AB205,IF(Z$3=3,AC205,IF(Z$3=4,AD205,IF(Z$3=5,AE205,IF(Z$3=6,AG205,IF(Z$3=7,AH205,IF(Z$3=8,AI205,IF(Z$3=9,AJ205,0))))))))))</f>
        <v>1</v>
      </c>
      <c r="AA205" s="380">
        <v>0</v>
      </c>
      <c r="AB205" s="380">
        <v>0</v>
      </c>
      <c r="AC205" s="379">
        <v>1</v>
      </c>
      <c r="AD205" s="379">
        <v>1</v>
      </c>
      <c r="AE205" s="379">
        <v>1</v>
      </c>
      <c r="AF205" s="379"/>
      <c r="AG205" s="380">
        <v>0</v>
      </c>
      <c r="AH205" s="380">
        <v>0</v>
      </c>
      <c r="AI205" s="380">
        <v>0</v>
      </c>
      <c r="AJ205" s="380">
        <v>0</v>
      </c>
      <c r="AL205" s="1" t="s">
        <v>238</v>
      </c>
    </row>
    <row r="206" spans="1:38" s="1" customFormat="1" ht="12.75" customHeight="1" x14ac:dyDescent="0.25">
      <c r="A206" s="355">
        <f t="shared" ref="A206:A232" si="19">A205+1</f>
        <v>2</v>
      </c>
      <c r="B206" s="402"/>
      <c r="C206" s="722" t="s">
        <v>414</v>
      </c>
      <c r="D206" s="722"/>
      <c r="E206" s="722"/>
      <c r="F206" s="722"/>
      <c r="G206" s="722"/>
      <c r="H206" s="722"/>
      <c r="I206" s="722"/>
      <c r="J206" s="722"/>
      <c r="K206" s="722"/>
      <c r="L206" s="723"/>
      <c r="M206" s="360" t="s">
        <v>238</v>
      </c>
      <c r="N206" s="8"/>
      <c r="O206" s="582" t="s">
        <v>469</v>
      </c>
      <c r="P206" s="583"/>
      <c r="Q206" s="580"/>
      <c r="R206" s="580"/>
      <c r="S206" s="580"/>
      <c r="T206" s="580"/>
      <c r="U206" s="580"/>
      <c r="V206" s="580"/>
      <c r="W206" s="580"/>
      <c r="X206" s="580"/>
      <c r="Y206" s="371"/>
      <c r="Z206" s="386">
        <f t="shared" si="18"/>
        <v>1</v>
      </c>
      <c r="AA206" s="380">
        <v>0</v>
      </c>
      <c r="AB206" s="380">
        <v>0</v>
      </c>
      <c r="AC206" s="379">
        <v>0</v>
      </c>
      <c r="AD206" s="379">
        <v>1</v>
      </c>
      <c r="AE206" s="379">
        <v>1</v>
      </c>
      <c r="AF206" s="379"/>
      <c r="AG206" s="380">
        <v>0</v>
      </c>
      <c r="AH206" s="380">
        <v>0</v>
      </c>
      <c r="AI206" s="380">
        <v>0</v>
      </c>
      <c r="AJ206" s="380">
        <v>0</v>
      </c>
      <c r="AL206" s="1" t="s">
        <v>159</v>
      </c>
    </row>
    <row r="207" spans="1:38" s="1" customFormat="1" ht="12.75" customHeight="1" x14ac:dyDescent="0.25">
      <c r="A207" s="355">
        <f t="shared" si="19"/>
        <v>3</v>
      </c>
      <c r="B207" s="402"/>
      <c r="C207" s="722" t="s">
        <v>386</v>
      </c>
      <c r="D207" s="722"/>
      <c r="E207" s="722"/>
      <c r="F207" s="722"/>
      <c r="G207" s="722"/>
      <c r="H207" s="722"/>
      <c r="I207" s="722"/>
      <c r="J207" s="722"/>
      <c r="K207" s="722"/>
      <c r="L207" s="723"/>
      <c r="M207" s="580"/>
      <c r="N207" s="580"/>
      <c r="O207" s="580"/>
      <c r="P207" s="580"/>
      <c r="Q207" s="726"/>
      <c r="R207" s="726"/>
      <c r="S207" s="726"/>
      <c r="T207" s="726"/>
      <c r="U207" s="360" t="s">
        <v>238</v>
      </c>
      <c r="V207" s="2"/>
      <c r="W207" s="2"/>
      <c r="X207" s="2"/>
      <c r="Y207" s="371"/>
      <c r="Z207" s="386">
        <f t="shared" si="18"/>
        <v>1</v>
      </c>
      <c r="AA207" s="380">
        <v>0</v>
      </c>
      <c r="AB207" s="380">
        <v>0</v>
      </c>
      <c r="AC207" s="379">
        <v>0</v>
      </c>
      <c r="AD207" s="379">
        <v>1</v>
      </c>
      <c r="AE207" s="379">
        <v>1</v>
      </c>
      <c r="AF207" s="379"/>
      <c r="AG207" s="380">
        <v>0</v>
      </c>
      <c r="AH207" s="380">
        <v>0</v>
      </c>
      <c r="AI207" s="380">
        <v>0</v>
      </c>
      <c r="AJ207" s="380">
        <v>0</v>
      </c>
      <c r="AL207" s="1" t="s">
        <v>160</v>
      </c>
    </row>
    <row r="208" spans="1:38" s="1" customFormat="1" ht="12.75" customHeight="1" x14ac:dyDescent="0.25">
      <c r="A208" s="355">
        <f t="shared" si="19"/>
        <v>4</v>
      </c>
      <c r="B208" s="402"/>
      <c r="C208" s="615" t="s">
        <v>196</v>
      </c>
      <c r="D208" s="615"/>
      <c r="E208" s="615"/>
      <c r="F208" s="615"/>
      <c r="G208" s="615"/>
      <c r="H208" s="615"/>
      <c r="I208" s="615"/>
      <c r="J208" s="615"/>
      <c r="K208" s="615"/>
      <c r="L208" s="615"/>
      <c r="M208" s="724" t="s">
        <v>194</v>
      </c>
      <c r="N208" s="724"/>
      <c r="O208" s="368"/>
      <c r="P208" s="368"/>
      <c r="Q208" s="724" t="s">
        <v>195</v>
      </c>
      <c r="R208" s="724"/>
      <c r="S208" s="725" t="s">
        <v>480</v>
      </c>
      <c r="T208" s="725"/>
      <c r="U208" s="725"/>
      <c r="V208" s="588"/>
      <c r="W208" s="388" t="s">
        <v>238</v>
      </c>
      <c r="X208" s="7"/>
      <c r="Y208" s="371"/>
      <c r="Z208" s="386">
        <f t="shared" si="18"/>
        <v>1</v>
      </c>
      <c r="AA208" s="380">
        <v>0</v>
      </c>
      <c r="AB208" s="380">
        <v>0</v>
      </c>
      <c r="AC208" s="379">
        <v>0</v>
      </c>
      <c r="AD208" s="379">
        <v>1</v>
      </c>
      <c r="AE208" s="379">
        <v>1</v>
      </c>
      <c r="AF208" s="379"/>
      <c r="AG208" s="380">
        <v>0</v>
      </c>
      <c r="AH208" s="380">
        <v>0</v>
      </c>
      <c r="AI208" s="380">
        <v>0</v>
      </c>
      <c r="AJ208" s="380">
        <v>0</v>
      </c>
      <c r="AL208" s="1" t="s">
        <v>721</v>
      </c>
    </row>
    <row r="209" spans="1:38" s="1" customFormat="1" ht="12.75" customHeight="1" x14ac:dyDescent="0.25">
      <c r="A209" s="369">
        <f t="shared" si="19"/>
        <v>5</v>
      </c>
      <c r="B209" s="402"/>
      <c r="C209" s="578" t="s">
        <v>227</v>
      </c>
      <c r="D209" s="578"/>
      <c r="E209" s="578"/>
      <c r="F209" s="578"/>
      <c r="G209" s="578"/>
      <c r="H209" s="578"/>
      <c r="I209" s="578"/>
      <c r="J209" s="578"/>
      <c r="K209" s="578"/>
      <c r="L209" s="579"/>
      <c r="M209" s="708"/>
      <c r="N209" s="709"/>
      <c r="O209" s="362"/>
      <c r="P209" s="2"/>
      <c r="Q209" s="605"/>
      <c r="R209" s="606"/>
      <c r="U209" s="599" t="s">
        <v>194</v>
      </c>
      <c r="V209" s="599"/>
      <c r="W209" s="599" t="s">
        <v>479</v>
      </c>
      <c r="X209" s="599"/>
      <c r="Y209" s="371"/>
      <c r="Z209" s="386">
        <f t="shared" si="18"/>
        <v>1</v>
      </c>
      <c r="AA209" s="380">
        <v>0</v>
      </c>
      <c r="AB209" s="380">
        <v>0</v>
      </c>
      <c r="AC209" s="379">
        <v>1</v>
      </c>
      <c r="AD209" s="379">
        <v>1</v>
      </c>
      <c r="AE209" s="379">
        <v>1</v>
      </c>
      <c r="AF209" s="379"/>
      <c r="AG209" s="380">
        <v>0</v>
      </c>
      <c r="AH209" s="380">
        <v>0</v>
      </c>
      <c r="AI209" s="380">
        <v>0</v>
      </c>
      <c r="AJ209" s="380">
        <v>0</v>
      </c>
      <c r="AL209" s="366" t="s">
        <v>238</v>
      </c>
    </row>
    <row r="210" spans="1:38" s="1" customFormat="1" ht="12.75" customHeight="1" x14ac:dyDescent="0.25">
      <c r="A210" s="369">
        <f t="shared" si="19"/>
        <v>6</v>
      </c>
      <c r="B210" s="402"/>
      <c r="C210" s="612" t="s">
        <v>90</v>
      </c>
      <c r="D210" s="612"/>
      <c r="E210" s="612"/>
      <c r="F210" s="612"/>
      <c r="G210" s="612"/>
      <c r="H210" s="612"/>
      <c r="I210" s="612"/>
      <c r="J210" s="612"/>
      <c r="K210" s="612"/>
      <c r="L210" s="613"/>
      <c r="M210" s="717" t="e">
        <f>M209*1000/M154</f>
        <v>#DIV/0!</v>
      </c>
      <c r="N210" s="718"/>
      <c r="O210" s="362"/>
      <c r="P210" s="2"/>
      <c r="Q210" s="605"/>
      <c r="R210" s="606"/>
      <c r="S210" s="598" t="s">
        <v>470</v>
      </c>
      <c r="T210" s="600"/>
      <c r="U210" s="87" t="e">
        <f>IF(M210&gt;525,"Si","No")</f>
        <v>#DIV/0!</v>
      </c>
      <c r="V210" s="2"/>
      <c r="W210" s="87" t="str">
        <f>IF(Q210="-","NA",IF(Q210&gt;525,"Si","No"))</f>
        <v>No</v>
      </c>
      <c r="X210" s="2"/>
      <c r="Y210" s="371"/>
      <c r="Z210" s="386">
        <f t="shared" si="18"/>
        <v>1</v>
      </c>
      <c r="AA210" s="380">
        <v>0</v>
      </c>
      <c r="AB210" s="380">
        <v>0</v>
      </c>
      <c r="AC210" s="379">
        <v>1</v>
      </c>
      <c r="AD210" s="379">
        <v>1</v>
      </c>
      <c r="AE210" s="379">
        <v>1</v>
      </c>
      <c r="AF210" s="379"/>
      <c r="AG210" s="380">
        <v>0</v>
      </c>
      <c r="AH210" s="380">
        <v>0</v>
      </c>
      <c r="AI210" s="380">
        <v>0</v>
      </c>
      <c r="AJ210" s="380">
        <v>0</v>
      </c>
      <c r="AL210" s="366"/>
    </row>
    <row r="211" spans="1:38" s="1" customFormat="1" ht="12.75" customHeight="1" x14ac:dyDescent="0.25">
      <c r="A211" s="369">
        <f t="shared" si="19"/>
        <v>7</v>
      </c>
      <c r="B211" s="402"/>
      <c r="C211" s="578" t="s">
        <v>201</v>
      </c>
      <c r="D211" s="578"/>
      <c r="E211" s="578"/>
      <c r="F211" s="578"/>
      <c r="G211" s="578"/>
      <c r="H211" s="578"/>
      <c r="I211" s="578"/>
      <c r="J211" s="578"/>
      <c r="K211" s="578"/>
      <c r="L211" s="579"/>
      <c r="M211" s="699">
        <f>Q48</f>
        <v>0</v>
      </c>
      <c r="N211" s="700"/>
      <c r="O211" s="362"/>
      <c r="P211" s="2"/>
      <c r="Q211" s="605"/>
      <c r="R211" s="606"/>
      <c r="U211" s="2"/>
      <c r="V211" s="2"/>
      <c r="W211" s="2"/>
      <c r="X211" s="2"/>
      <c r="Y211" s="371"/>
      <c r="Z211" s="386">
        <f t="shared" si="18"/>
        <v>1</v>
      </c>
      <c r="AA211" s="380">
        <v>0</v>
      </c>
      <c r="AB211" s="380">
        <v>0</v>
      </c>
      <c r="AC211" s="379">
        <v>1</v>
      </c>
      <c r="AD211" s="379">
        <v>1</v>
      </c>
      <c r="AE211" s="379">
        <v>1</v>
      </c>
      <c r="AF211" s="379"/>
      <c r="AG211" s="380">
        <v>0</v>
      </c>
      <c r="AH211" s="380">
        <v>0</v>
      </c>
      <c r="AI211" s="380">
        <v>0</v>
      </c>
      <c r="AJ211" s="380">
        <v>0</v>
      </c>
      <c r="AL211" s="366"/>
    </row>
    <row r="212" spans="1:38" s="1" customFormat="1" ht="12.75" customHeight="1" x14ac:dyDescent="0.25">
      <c r="A212" s="369">
        <f t="shared" si="19"/>
        <v>8</v>
      </c>
      <c r="B212" s="402"/>
      <c r="C212" s="578" t="s">
        <v>199</v>
      </c>
      <c r="D212" s="578"/>
      <c r="E212" s="578"/>
      <c r="F212" s="578"/>
      <c r="G212" s="578"/>
      <c r="H212" s="578"/>
      <c r="I212" s="578"/>
      <c r="J212" s="578"/>
      <c r="K212" s="578"/>
      <c r="L212" s="579"/>
      <c r="M212" s="712">
        <f>S48</f>
        <v>0</v>
      </c>
      <c r="N212" s="713"/>
      <c r="O212" s="362"/>
      <c r="P212" s="2"/>
      <c r="Q212" s="605"/>
      <c r="R212" s="606"/>
      <c r="U212" s="2"/>
      <c r="V212" s="2"/>
      <c r="W212" s="2"/>
      <c r="X212" s="2"/>
      <c r="Y212" s="371"/>
      <c r="Z212" s="386">
        <f t="shared" si="18"/>
        <v>1</v>
      </c>
      <c r="AA212" s="380">
        <v>0</v>
      </c>
      <c r="AB212" s="380">
        <v>0</v>
      </c>
      <c r="AC212" s="379">
        <v>1</v>
      </c>
      <c r="AD212" s="379">
        <v>1</v>
      </c>
      <c r="AE212" s="379">
        <v>1</v>
      </c>
      <c r="AF212" s="379"/>
      <c r="AG212" s="380">
        <v>0</v>
      </c>
      <c r="AH212" s="380">
        <v>0</v>
      </c>
      <c r="AI212" s="380">
        <v>0</v>
      </c>
      <c r="AJ212" s="380">
        <v>0</v>
      </c>
      <c r="AL212" s="366"/>
    </row>
    <row r="213" spans="1:38" s="1" customFormat="1" ht="12.75" customHeight="1" x14ac:dyDescent="0.25">
      <c r="A213" s="369">
        <f t="shared" si="19"/>
        <v>9</v>
      </c>
      <c r="B213" s="402"/>
      <c r="C213" s="578" t="s">
        <v>342</v>
      </c>
      <c r="D213" s="578"/>
      <c r="E213" s="578"/>
      <c r="F213" s="578"/>
      <c r="G213" s="578"/>
      <c r="H213" s="578"/>
      <c r="I213" s="578"/>
      <c r="J213" s="578"/>
      <c r="K213" s="578"/>
      <c r="L213" s="579"/>
      <c r="M213" s="699">
        <f>U48</f>
        <v>0</v>
      </c>
      <c r="N213" s="700"/>
      <c r="O213" s="362"/>
      <c r="P213" s="2"/>
      <c r="Q213" s="605"/>
      <c r="R213" s="606"/>
      <c r="S213" s="716" t="s">
        <v>471</v>
      </c>
      <c r="T213" s="600"/>
      <c r="U213" s="87" t="str">
        <f>IF(M213=M224,"Si","No")</f>
        <v>Si</v>
      </c>
      <c r="V213" s="2"/>
      <c r="W213" s="87" t="str">
        <f>IF(Q213="-","NA",IF(Q213=Q224,"Si","No"))</f>
        <v>Si</v>
      </c>
      <c r="X213" s="2"/>
      <c r="Y213" s="371"/>
      <c r="Z213" s="386">
        <f t="shared" si="18"/>
        <v>1</v>
      </c>
      <c r="AA213" s="380">
        <v>0</v>
      </c>
      <c r="AB213" s="380">
        <v>0</v>
      </c>
      <c r="AC213" s="379">
        <v>1</v>
      </c>
      <c r="AD213" s="379">
        <v>1</v>
      </c>
      <c r="AE213" s="379">
        <v>1</v>
      </c>
      <c r="AF213" s="379"/>
      <c r="AG213" s="380">
        <v>0</v>
      </c>
      <c r="AH213" s="380">
        <v>0</v>
      </c>
      <c r="AI213" s="380">
        <v>0</v>
      </c>
      <c r="AJ213" s="380">
        <v>0</v>
      </c>
      <c r="AL213" s="366"/>
    </row>
    <row r="214" spans="1:38" s="1" customFormat="1" ht="12.75" customHeight="1" x14ac:dyDescent="0.25">
      <c r="A214" s="369">
        <f t="shared" si="19"/>
        <v>10</v>
      </c>
      <c r="B214" s="402"/>
      <c r="C214" s="578" t="s">
        <v>476</v>
      </c>
      <c r="D214" s="578"/>
      <c r="E214" s="578"/>
      <c r="F214" s="578"/>
      <c r="G214" s="578"/>
      <c r="H214" s="578"/>
      <c r="I214" s="578"/>
      <c r="J214" s="578"/>
      <c r="K214" s="578"/>
      <c r="L214" s="579"/>
      <c r="M214" s="699">
        <f>I48</f>
        <v>0</v>
      </c>
      <c r="N214" s="700"/>
      <c r="O214" s="362"/>
      <c r="P214" s="2"/>
      <c r="Q214" s="605"/>
      <c r="R214" s="606"/>
      <c r="S214" s="598" t="s">
        <v>478</v>
      </c>
      <c r="T214" s="600"/>
      <c r="U214" s="87" t="e">
        <f>IF(((M214-M225)/M214*100)&lt;10,"Si","No")</f>
        <v>#DIV/0!</v>
      </c>
      <c r="V214" s="2"/>
      <c r="W214" s="87" t="e">
        <f>IF(Q214="-","NA",IF(((Q214-Q225)/Q214*100)&lt;10,"Si","No"))</f>
        <v>#DIV/0!</v>
      </c>
      <c r="X214" s="2"/>
      <c r="Y214" s="371"/>
      <c r="Z214" s="386">
        <f t="shared" si="18"/>
        <v>1</v>
      </c>
      <c r="AA214" s="380">
        <v>0</v>
      </c>
      <c r="AB214" s="380">
        <v>0</v>
      </c>
      <c r="AC214" s="379">
        <v>1</v>
      </c>
      <c r="AD214" s="379">
        <v>1</v>
      </c>
      <c r="AE214" s="379">
        <v>1</v>
      </c>
      <c r="AF214" s="379"/>
      <c r="AG214" s="380">
        <v>0</v>
      </c>
      <c r="AH214" s="380">
        <v>0</v>
      </c>
      <c r="AI214" s="380">
        <v>0</v>
      </c>
      <c r="AJ214" s="380">
        <v>0</v>
      </c>
      <c r="AL214" s="366"/>
    </row>
    <row r="215" spans="1:38" s="1" customFormat="1" ht="12.75" customHeight="1" x14ac:dyDescent="0.25">
      <c r="A215" s="369">
        <f t="shared" si="19"/>
        <v>11</v>
      </c>
      <c r="B215" s="402"/>
      <c r="C215" s="578" t="s">
        <v>106</v>
      </c>
      <c r="D215" s="578"/>
      <c r="E215" s="578"/>
      <c r="F215" s="578"/>
      <c r="G215" s="578"/>
      <c r="H215" s="578"/>
      <c r="I215" s="578"/>
      <c r="J215" s="578"/>
      <c r="K215" s="578"/>
      <c r="L215" s="579"/>
      <c r="M215" s="706" t="e">
        <f>M209*1000/M213</f>
        <v>#DIV/0!</v>
      </c>
      <c r="N215" s="707"/>
      <c r="O215" s="362"/>
      <c r="P215" s="2"/>
      <c r="Q215" s="605"/>
      <c r="R215" s="606"/>
      <c r="U215" s="2"/>
      <c r="V215" s="2"/>
      <c r="W215" s="2"/>
      <c r="X215" s="2"/>
      <c r="Y215" s="371"/>
      <c r="Z215" s="386">
        <f t="shared" si="18"/>
        <v>1</v>
      </c>
      <c r="AA215" s="380">
        <v>0</v>
      </c>
      <c r="AB215" s="380">
        <v>0</v>
      </c>
      <c r="AC215" s="379">
        <v>1</v>
      </c>
      <c r="AD215" s="379">
        <v>1</v>
      </c>
      <c r="AE215" s="379">
        <v>1</v>
      </c>
      <c r="AF215" s="379"/>
      <c r="AG215" s="380">
        <v>0</v>
      </c>
      <c r="AH215" s="380">
        <v>0</v>
      </c>
      <c r="AI215" s="380">
        <v>0</v>
      </c>
      <c r="AJ215" s="380">
        <v>0</v>
      </c>
      <c r="AL215" s="366"/>
    </row>
    <row r="216" spans="1:38" s="1" customFormat="1" ht="12.75" customHeight="1" x14ac:dyDescent="0.25">
      <c r="A216" s="369">
        <f t="shared" si="19"/>
        <v>12</v>
      </c>
      <c r="B216" s="402"/>
      <c r="C216" s="578" t="s">
        <v>91</v>
      </c>
      <c r="D216" s="578"/>
      <c r="E216" s="578"/>
      <c r="F216" s="578"/>
      <c r="G216" s="578"/>
      <c r="H216" s="578"/>
      <c r="I216" s="578"/>
      <c r="J216" s="578"/>
      <c r="K216" s="578"/>
      <c r="L216" s="579"/>
      <c r="M216" s="708"/>
      <c r="N216" s="709"/>
      <c r="O216" s="362"/>
      <c r="P216" s="2"/>
      <c r="Q216" s="605"/>
      <c r="R216" s="606"/>
      <c r="S216" s="716" t="s">
        <v>472</v>
      </c>
      <c r="T216" s="600"/>
      <c r="U216" s="87" t="str">
        <f>IF(M216=50,"Si","No")</f>
        <v>No</v>
      </c>
      <c r="V216" s="2"/>
      <c r="W216" s="87" t="str">
        <f>IF(Q216="-","NA",IF(Q216=50,"Si","No"))</f>
        <v>No</v>
      </c>
      <c r="X216" s="2"/>
      <c r="Y216" s="371"/>
      <c r="Z216" s="386">
        <f t="shared" si="18"/>
        <v>1</v>
      </c>
      <c r="AA216" s="380">
        <v>0</v>
      </c>
      <c r="AB216" s="380">
        <v>0</v>
      </c>
      <c r="AC216" s="379">
        <v>1</v>
      </c>
      <c r="AD216" s="379">
        <v>1</v>
      </c>
      <c r="AE216" s="379">
        <v>1</v>
      </c>
      <c r="AF216" s="379"/>
      <c r="AG216" s="380">
        <v>0</v>
      </c>
      <c r="AH216" s="380">
        <v>0</v>
      </c>
      <c r="AI216" s="380">
        <v>0</v>
      </c>
      <c r="AJ216" s="380">
        <v>0</v>
      </c>
      <c r="AL216" s="366"/>
    </row>
    <row r="217" spans="1:38" s="1" customFormat="1" ht="12.75" customHeight="1" x14ac:dyDescent="0.25">
      <c r="A217" s="369">
        <f t="shared" si="19"/>
        <v>13</v>
      </c>
      <c r="B217" s="402"/>
      <c r="C217" s="612" t="s">
        <v>92</v>
      </c>
      <c r="D217" s="612"/>
      <c r="E217" s="612"/>
      <c r="F217" s="612"/>
      <c r="G217" s="612"/>
      <c r="H217" s="612"/>
      <c r="I217" s="612"/>
      <c r="J217" s="612"/>
      <c r="K217" s="612"/>
      <c r="L217" s="613"/>
      <c r="M217" s="706" t="e">
        <f>M216-M215</f>
        <v>#DIV/0!</v>
      </c>
      <c r="N217" s="707"/>
      <c r="O217" s="2"/>
      <c r="P217" s="2"/>
      <c r="Q217" s="605"/>
      <c r="R217" s="606"/>
      <c r="U217" s="2"/>
      <c r="V217" s="2"/>
      <c r="W217" s="2"/>
      <c r="X217" s="2"/>
      <c r="Y217" s="371"/>
      <c r="Z217" s="386">
        <f t="shared" si="18"/>
        <v>1</v>
      </c>
      <c r="AA217" s="380">
        <v>0</v>
      </c>
      <c r="AB217" s="380">
        <v>0</v>
      </c>
      <c r="AC217" s="379">
        <v>1</v>
      </c>
      <c r="AD217" s="379">
        <v>1</v>
      </c>
      <c r="AE217" s="379">
        <v>1</v>
      </c>
      <c r="AF217" s="379"/>
      <c r="AG217" s="380">
        <v>0</v>
      </c>
      <c r="AH217" s="380">
        <v>0</v>
      </c>
      <c r="AI217" s="380">
        <v>0</v>
      </c>
      <c r="AJ217" s="380">
        <v>0</v>
      </c>
      <c r="AL217" s="366"/>
    </row>
    <row r="218" spans="1:38" s="1" customFormat="1" ht="12.75" customHeight="1" x14ac:dyDescent="0.25">
      <c r="A218" s="369">
        <f t="shared" si="19"/>
        <v>14</v>
      </c>
      <c r="B218" s="402"/>
      <c r="C218" s="612" t="s">
        <v>311</v>
      </c>
      <c r="D218" s="612"/>
      <c r="E218" s="612"/>
      <c r="F218" s="612"/>
      <c r="G218" s="612"/>
      <c r="H218" s="612"/>
      <c r="I218" s="612"/>
      <c r="J218" s="612"/>
      <c r="K218" s="612"/>
      <c r="L218" s="613"/>
      <c r="M218" s="714" t="e">
        <f>W48</f>
        <v>#DIV/0!</v>
      </c>
      <c r="N218" s="715"/>
      <c r="O218" s="11"/>
      <c r="P218" s="11"/>
      <c r="Q218" s="605"/>
      <c r="R218" s="606"/>
      <c r="U218" s="2"/>
      <c r="V218" s="2"/>
      <c r="W218" s="2"/>
      <c r="X218" s="2"/>
      <c r="Y218" s="371"/>
      <c r="Z218" s="386">
        <f t="shared" si="18"/>
        <v>1</v>
      </c>
      <c r="AA218" s="380">
        <v>0</v>
      </c>
      <c r="AB218" s="380">
        <v>0</v>
      </c>
      <c r="AC218" s="379">
        <v>1</v>
      </c>
      <c r="AD218" s="379">
        <v>1</v>
      </c>
      <c r="AE218" s="379">
        <v>1</v>
      </c>
      <c r="AF218" s="379"/>
      <c r="AG218" s="380">
        <v>0</v>
      </c>
      <c r="AH218" s="380">
        <v>0</v>
      </c>
      <c r="AI218" s="380">
        <v>0</v>
      </c>
      <c r="AJ218" s="380">
        <v>0</v>
      </c>
      <c r="AL218" s="366"/>
    </row>
    <row r="219" spans="1:38" s="1" customFormat="1" ht="12.75" customHeight="1" x14ac:dyDescent="0.25"/>
    <row r="220" spans="1:38" s="1" customFormat="1" ht="12.75" customHeight="1" x14ac:dyDescent="0.25"/>
    <row r="221" spans="1:38" s="1" customFormat="1" ht="12.75" customHeight="1" x14ac:dyDescent="0.25">
      <c r="A221" s="369">
        <f>A218+1</f>
        <v>15</v>
      </c>
      <c r="B221" s="402"/>
      <c r="C221" s="615" t="s">
        <v>379</v>
      </c>
      <c r="D221" s="615"/>
      <c r="E221" s="615"/>
      <c r="F221" s="615"/>
      <c r="G221" s="615"/>
      <c r="H221" s="615"/>
      <c r="I221" s="615"/>
      <c r="J221" s="615"/>
      <c r="K221" s="615"/>
      <c r="L221" s="613"/>
      <c r="M221" s="708"/>
      <c r="N221" s="709"/>
      <c r="O221" s="362"/>
      <c r="P221" s="2"/>
      <c r="Q221" s="605"/>
      <c r="R221" s="606"/>
      <c r="S221" s="598" t="s">
        <v>473</v>
      </c>
      <c r="T221" s="600"/>
      <c r="U221" s="87" t="str">
        <f>IF(M221&lt;=20,"Si","No")</f>
        <v>Si</v>
      </c>
      <c r="V221" s="2"/>
      <c r="W221" s="87" t="str">
        <f>IF(Q221="-","NA",IF(Q221&lt;=20,"Si","No"))</f>
        <v>Si</v>
      </c>
      <c r="X221" s="2"/>
      <c r="Y221" s="371"/>
      <c r="Z221" s="386">
        <f t="shared" si="18"/>
        <v>1</v>
      </c>
      <c r="AA221" s="380">
        <v>0</v>
      </c>
      <c r="AB221" s="380">
        <v>0</v>
      </c>
      <c r="AC221" s="379">
        <v>1</v>
      </c>
      <c r="AD221" s="379">
        <v>1</v>
      </c>
      <c r="AE221" s="379">
        <v>1</v>
      </c>
      <c r="AF221" s="379"/>
      <c r="AG221" s="380">
        <v>0</v>
      </c>
      <c r="AH221" s="380">
        <v>0</v>
      </c>
      <c r="AI221" s="380">
        <v>0</v>
      </c>
      <c r="AJ221" s="380">
        <v>0</v>
      </c>
      <c r="AL221" s="366"/>
    </row>
    <row r="222" spans="1:38" s="1" customFormat="1" ht="12.75" customHeight="1" x14ac:dyDescent="0.25">
      <c r="A222" s="369">
        <f t="shared" si="19"/>
        <v>16</v>
      </c>
      <c r="B222" s="402"/>
      <c r="C222" s="612" t="s">
        <v>200</v>
      </c>
      <c r="D222" s="612"/>
      <c r="E222" s="612"/>
      <c r="F222" s="612"/>
      <c r="G222" s="612"/>
      <c r="H222" s="612"/>
      <c r="I222" s="612"/>
      <c r="J222" s="612"/>
      <c r="K222" s="612"/>
      <c r="L222" s="613"/>
      <c r="M222" s="699">
        <f>Q49</f>
        <v>0</v>
      </c>
      <c r="N222" s="700"/>
      <c r="O222" s="2"/>
      <c r="P222" s="2"/>
      <c r="Q222" s="605"/>
      <c r="R222" s="606"/>
      <c r="U222" s="2"/>
      <c r="V222" s="2"/>
      <c r="W222" s="2"/>
      <c r="X222" s="7"/>
      <c r="Y222" s="371"/>
      <c r="Z222" s="386">
        <f t="shared" si="18"/>
        <v>1</v>
      </c>
      <c r="AA222" s="380">
        <v>0</v>
      </c>
      <c r="AB222" s="380">
        <v>0</v>
      </c>
      <c r="AC222" s="379">
        <v>1</v>
      </c>
      <c r="AD222" s="379">
        <v>1</v>
      </c>
      <c r="AE222" s="379">
        <v>1</v>
      </c>
      <c r="AF222" s="379"/>
      <c r="AG222" s="380">
        <v>0</v>
      </c>
      <c r="AH222" s="380">
        <v>0</v>
      </c>
      <c r="AI222" s="380">
        <v>0</v>
      </c>
      <c r="AJ222" s="380">
        <v>0</v>
      </c>
      <c r="AL222" s="1" t="s">
        <v>157</v>
      </c>
    </row>
    <row r="223" spans="1:38" s="1" customFormat="1" ht="12.75" customHeight="1" x14ac:dyDescent="0.25">
      <c r="A223" s="369">
        <f t="shared" si="19"/>
        <v>17</v>
      </c>
      <c r="B223" s="402"/>
      <c r="C223" s="612" t="s">
        <v>202</v>
      </c>
      <c r="D223" s="612"/>
      <c r="E223" s="612"/>
      <c r="F223" s="612"/>
      <c r="G223" s="612"/>
      <c r="H223" s="612"/>
      <c r="I223" s="612"/>
      <c r="J223" s="612"/>
      <c r="K223" s="612"/>
      <c r="L223" s="613"/>
      <c r="M223" s="712">
        <f>S49</f>
        <v>0</v>
      </c>
      <c r="N223" s="713"/>
      <c r="O223" s="2"/>
      <c r="P223" s="362"/>
      <c r="Q223" s="605"/>
      <c r="R223" s="606"/>
      <c r="U223" s="362"/>
      <c r="V223" s="362"/>
      <c r="W223" s="362"/>
      <c r="X223" s="7"/>
      <c r="Y223" s="371"/>
      <c r="Z223" s="386">
        <f t="shared" si="18"/>
        <v>1</v>
      </c>
      <c r="AA223" s="380">
        <v>0</v>
      </c>
      <c r="AB223" s="380">
        <v>0</v>
      </c>
      <c r="AC223" s="379">
        <v>1</v>
      </c>
      <c r="AD223" s="379">
        <v>1</v>
      </c>
      <c r="AE223" s="379">
        <v>1</v>
      </c>
      <c r="AF223" s="379"/>
      <c r="AG223" s="380">
        <v>0</v>
      </c>
      <c r="AH223" s="380">
        <v>0</v>
      </c>
      <c r="AI223" s="380">
        <v>0</v>
      </c>
      <c r="AJ223" s="380">
        <v>0</v>
      </c>
      <c r="AL223" s="1" t="s">
        <v>756</v>
      </c>
    </row>
    <row r="224" spans="1:38" s="1" customFormat="1" ht="12.75" customHeight="1" x14ac:dyDescent="0.25">
      <c r="A224" s="369">
        <f t="shared" si="19"/>
        <v>18</v>
      </c>
      <c r="B224" s="402"/>
      <c r="C224" s="578" t="s">
        <v>343</v>
      </c>
      <c r="D224" s="578"/>
      <c r="E224" s="578"/>
      <c r="F224" s="578"/>
      <c r="G224" s="578"/>
      <c r="H224" s="578"/>
      <c r="I224" s="578"/>
      <c r="J224" s="578"/>
      <c r="K224" s="578"/>
      <c r="L224" s="579"/>
      <c r="M224" s="699">
        <f>M213</f>
        <v>0</v>
      </c>
      <c r="N224" s="700"/>
      <c r="O224" s="362"/>
      <c r="P224" s="2"/>
      <c r="Q224" s="605"/>
      <c r="R224" s="606"/>
      <c r="U224" s="2"/>
      <c r="V224" s="2"/>
      <c r="W224" s="371"/>
      <c r="X224" s="7"/>
      <c r="Y224" s="371"/>
      <c r="Z224" s="386">
        <f t="shared" si="18"/>
        <v>1</v>
      </c>
      <c r="AA224" s="380">
        <v>0</v>
      </c>
      <c r="AB224" s="380">
        <v>0</v>
      </c>
      <c r="AC224" s="379">
        <v>1</v>
      </c>
      <c r="AD224" s="379">
        <v>1</v>
      </c>
      <c r="AE224" s="379">
        <v>1</v>
      </c>
      <c r="AF224" s="379"/>
      <c r="AG224" s="380">
        <v>0</v>
      </c>
      <c r="AH224" s="380">
        <v>0</v>
      </c>
      <c r="AI224" s="380">
        <v>0</v>
      </c>
      <c r="AJ224" s="380">
        <v>0</v>
      </c>
      <c r="AL224" s="1" t="s">
        <v>162</v>
      </c>
    </row>
    <row r="225" spans="1:39" s="1" customFormat="1" ht="12.75" customHeight="1" x14ac:dyDescent="0.25">
      <c r="A225" s="369">
        <f t="shared" si="19"/>
        <v>19</v>
      </c>
      <c r="B225" s="402"/>
      <c r="C225" s="578" t="s">
        <v>477</v>
      </c>
      <c r="D225" s="578"/>
      <c r="E225" s="578"/>
      <c r="F225" s="578"/>
      <c r="G225" s="578"/>
      <c r="H225" s="578"/>
      <c r="I225" s="578"/>
      <c r="J225" s="578"/>
      <c r="K225" s="578"/>
      <c r="L225" s="579"/>
      <c r="M225" s="699" t="e">
        <f>I49</f>
        <v>#DIV/0!</v>
      </c>
      <c r="N225" s="700"/>
      <c r="O225" s="362"/>
      <c r="P225" s="2"/>
      <c r="Q225" s="605"/>
      <c r="R225" s="606"/>
      <c r="S225" s="710" t="s">
        <v>558</v>
      </c>
      <c r="T225" s="711"/>
      <c r="U225" s="622" t="e">
        <f>(M214-M225)/M225*100</f>
        <v>#DIV/0!</v>
      </c>
      <c r="V225" s="623"/>
      <c r="W225" s="371" t="s">
        <v>26</v>
      </c>
      <c r="X225" s="7"/>
      <c r="Y225" s="371"/>
      <c r="Z225" s="386">
        <f t="shared" si="18"/>
        <v>1</v>
      </c>
      <c r="AA225" s="380">
        <v>0</v>
      </c>
      <c r="AB225" s="380">
        <v>0</v>
      </c>
      <c r="AC225" s="379">
        <v>1</v>
      </c>
      <c r="AD225" s="379">
        <v>1</v>
      </c>
      <c r="AE225" s="379">
        <v>1</v>
      </c>
      <c r="AF225" s="379"/>
      <c r="AG225" s="380">
        <v>0</v>
      </c>
      <c r="AH225" s="380">
        <v>0</v>
      </c>
      <c r="AI225" s="380">
        <v>0</v>
      </c>
      <c r="AJ225" s="380">
        <v>0</v>
      </c>
      <c r="AL225" s="366" t="s">
        <v>238</v>
      </c>
    </row>
    <row r="226" spans="1:39" s="1" customFormat="1" ht="12.75" customHeight="1" x14ac:dyDescent="0.25">
      <c r="A226" s="369">
        <f t="shared" si="19"/>
        <v>20</v>
      </c>
      <c r="B226" s="402"/>
      <c r="C226" s="578" t="s">
        <v>106</v>
      </c>
      <c r="D226" s="578"/>
      <c r="E226" s="578"/>
      <c r="F226" s="578"/>
      <c r="G226" s="578"/>
      <c r="H226" s="578"/>
      <c r="I226" s="578"/>
      <c r="J226" s="578"/>
      <c r="K226" s="578"/>
      <c r="L226" s="579"/>
      <c r="M226" s="706" t="e">
        <f>M209*1000/M224</f>
        <v>#DIV/0!</v>
      </c>
      <c r="N226" s="707"/>
      <c r="O226" s="362"/>
      <c r="P226" s="362"/>
      <c r="Q226" s="605"/>
      <c r="R226" s="606"/>
      <c r="U226" s="362"/>
      <c r="V226" s="362"/>
      <c r="W226" s="362"/>
      <c r="X226" s="7"/>
      <c r="Y226" s="371"/>
      <c r="Z226" s="386">
        <f t="shared" si="18"/>
        <v>1</v>
      </c>
      <c r="AA226" s="380">
        <v>0</v>
      </c>
      <c r="AB226" s="380">
        <v>0</v>
      </c>
      <c r="AC226" s="379">
        <v>1</v>
      </c>
      <c r="AD226" s="379">
        <v>1</v>
      </c>
      <c r="AE226" s="379">
        <v>1</v>
      </c>
      <c r="AF226" s="379"/>
      <c r="AG226" s="380">
        <v>0</v>
      </c>
      <c r="AH226" s="380">
        <v>0</v>
      </c>
      <c r="AI226" s="380">
        <v>0</v>
      </c>
      <c r="AJ226" s="380">
        <v>0</v>
      </c>
      <c r="AL226" s="366"/>
    </row>
    <row r="227" spans="1:39" s="1" customFormat="1" ht="12.75" customHeight="1" x14ac:dyDescent="0.25">
      <c r="A227" s="369">
        <f t="shared" si="19"/>
        <v>21</v>
      </c>
      <c r="B227" s="402"/>
      <c r="C227" s="615" t="s">
        <v>92</v>
      </c>
      <c r="D227" s="615"/>
      <c r="E227" s="615"/>
      <c r="F227" s="615"/>
      <c r="G227" s="615"/>
      <c r="H227" s="615"/>
      <c r="I227" s="615"/>
      <c r="J227" s="615"/>
      <c r="K227" s="615"/>
      <c r="L227" s="613"/>
      <c r="M227" s="708"/>
      <c r="N227" s="709"/>
      <c r="O227" s="2"/>
      <c r="P227" s="362"/>
      <c r="Q227" s="605"/>
      <c r="R227" s="606"/>
      <c r="S227" s="598" t="s">
        <v>474</v>
      </c>
      <c r="T227" s="600"/>
      <c r="U227" s="87" t="str">
        <f>IF(M227&gt;45,"Si","No")</f>
        <v>No</v>
      </c>
      <c r="V227" s="2"/>
      <c r="W227" s="87" t="str">
        <f>IF(Q227="-","NA",IF(Q227&gt;45,"Si","No"))</f>
        <v>No</v>
      </c>
      <c r="X227" s="2"/>
      <c r="Y227" s="371"/>
      <c r="Z227" s="386">
        <f t="shared" si="18"/>
        <v>1</v>
      </c>
      <c r="AA227" s="380">
        <v>0</v>
      </c>
      <c r="AB227" s="380">
        <v>0</v>
      </c>
      <c r="AC227" s="379">
        <v>1</v>
      </c>
      <c r="AD227" s="379">
        <v>1</v>
      </c>
      <c r="AE227" s="379">
        <v>1</v>
      </c>
      <c r="AF227" s="379"/>
      <c r="AG227" s="380">
        <v>0</v>
      </c>
      <c r="AH227" s="380">
        <v>0</v>
      </c>
      <c r="AI227" s="380">
        <v>0</v>
      </c>
      <c r="AJ227" s="380">
        <v>0</v>
      </c>
      <c r="AL227" s="366"/>
    </row>
    <row r="228" spans="1:39" s="1" customFormat="1" ht="12.75" customHeight="1" x14ac:dyDescent="0.25">
      <c r="A228" s="369">
        <f t="shared" si="19"/>
        <v>22</v>
      </c>
      <c r="B228" s="402"/>
      <c r="C228" s="615" t="s">
        <v>91</v>
      </c>
      <c r="D228" s="615"/>
      <c r="E228" s="615"/>
      <c r="F228" s="615"/>
      <c r="G228" s="615"/>
      <c r="H228" s="615"/>
      <c r="I228" s="615"/>
      <c r="J228" s="615"/>
      <c r="K228" s="615"/>
      <c r="L228" s="613"/>
      <c r="M228" s="706" t="e">
        <f>M227-M226</f>
        <v>#DIV/0!</v>
      </c>
      <c r="N228" s="707"/>
      <c r="O228" s="2"/>
      <c r="P228" s="362"/>
      <c r="Q228" s="605"/>
      <c r="R228" s="606"/>
      <c r="U228" s="362"/>
      <c r="V228" s="362"/>
      <c r="W228" s="362"/>
      <c r="X228" s="362"/>
      <c r="Y228" s="371"/>
      <c r="Z228" s="386">
        <f t="shared" si="18"/>
        <v>1</v>
      </c>
      <c r="AA228" s="380">
        <v>0</v>
      </c>
      <c r="AB228" s="380">
        <v>0</v>
      </c>
      <c r="AC228" s="379">
        <v>1</v>
      </c>
      <c r="AD228" s="379">
        <v>1</v>
      </c>
      <c r="AE228" s="379">
        <v>1</v>
      </c>
      <c r="AF228" s="379"/>
      <c r="AG228" s="380">
        <v>0</v>
      </c>
      <c r="AH228" s="380">
        <v>0</v>
      </c>
      <c r="AI228" s="380">
        <v>0</v>
      </c>
      <c r="AJ228" s="380">
        <v>0</v>
      </c>
      <c r="AL228" s="366"/>
    </row>
    <row r="229" spans="1:39" s="1" customFormat="1" ht="12.75" customHeight="1" x14ac:dyDescent="0.25">
      <c r="A229" s="369">
        <f t="shared" si="19"/>
        <v>23</v>
      </c>
      <c r="B229" s="402"/>
      <c r="C229" s="615" t="s">
        <v>380</v>
      </c>
      <c r="D229" s="615"/>
      <c r="E229" s="615"/>
      <c r="F229" s="615"/>
      <c r="G229" s="615"/>
      <c r="H229" s="615"/>
      <c r="I229" s="615"/>
      <c r="J229" s="615"/>
      <c r="K229" s="615"/>
      <c r="L229" s="613"/>
      <c r="M229" s="708"/>
      <c r="N229" s="709"/>
      <c r="O229" s="2"/>
      <c r="P229" s="362"/>
      <c r="Q229" s="605"/>
      <c r="R229" s="606"/>
      <c r="S229" s="598" t="s">
        <v>473</v>
      </c>
      <c r="T229" s="600"/>
      <c r="U229" s="87" t="str">
        <f>IF(M229&lt;=20,"Si","No")</f>
        <v>Si</v>
      </c>
      <c r="V229" s="2"/>
      <c r="W229" s="87" t="str">
        <f>IF(Q229="-","NA",IF(Q229&lt;=20,"Si","No"))</f>
        <v>Si</v>
      </c>
      <c r="X229" s="2"/>
      <c r="Y229" s="371"/>
      <c r="Z229" s="386">
        <f t="shared" si="18"/>
        <v>1</v>
      </c>
      <c r="AA229" s="380">
        <v>0</v>
      </c>
      <c r="AB229" s="380">
        <v>0</v>
      </c>
      <c r="AC229" s="379">
        <v>1</v>
      </c>
      <c r="AD229" s="379">
        <v>1</v>
      </c>
      <c r="AE229" s="379">
        <v>1</v>
      </c>
      <c r="AF229" s="379"/>
      <c r="AG229" s="380">
        <v>0</v>
      </c>
      <c r="AH229" s="380">
        <v>0</v>
      </c>
      <c r="AI229" s="380">
        <v>0</v>
      </c>
      <c r="AJ229" s="380">
        <v>0</v>
      </c>
      <c r="AL229" s="366"/>
    </row>
    <row r="230" spans="1:39" s="1" customFormat="1" ht="12.75" customHeight="1" x14ac:dyDescent="0.25">
      <c r="A230" s="369">
        <f t="shared" si="19"/>
        <v>24</v>
      </c>
      <c r="B230" s="402"/>
      <c r="C230" s="615" t="s">
        <v>163</v>
      </c>
      <c r="D230" s="615"/>
      <c r="E230" s="615"/>
      <c r="F230" s="615"/>
      <c r="G230" s="615"/>
      <c r="H230" s="615"/>
      <c r="I230" s="615"/>
      <c r="J230" s="615"/>
      <c r="K230" s="615"/>
      <c r="L230" s="613"/>
      <c r="M230" s="704" t="e">
        <f>(M227-M228)/(M216-M228)</f>
        <v>#DIV/0!</v>
      </c>
      <c r="N230" s="705"/>
      <c r="O230" s="2"/>
      <c r="P230" s="362"/>
      <c r="Q230" s="605"/>
      <c r="R230" s="606"/>
      <c r="S230" s="710" t="s">
        <v>475</v>
      </c>
      <c r="T230" s="711"/>
      <c r="U230" s="359" t="e">
        <f>IF(M230&gt;0.7,"Si","No")</f>
        <v>#DIV/0!</v>
      </c>
      <c r="V230" s="2"/>
      <c r="W230" s="87" t="str">
        <f>IF(Q230="-","NA",IF(Q230&gt;0.7,"Si","No"))</f>
        <v>No</v>
      </c>
      <c r="X230" s="2"/>
      <c r="Y230" s="371"/>
      <c r="Z230" s="386">
        <f t="shared" si="18"/>
        <v>1</v>
      </c>
      <c r="AA230" s="380">
        <v>0</v>
      </c>
      <c r="AB230" s="380">
        <v>0</v>
      </c>
      <c r="AC230" s="379">
        <v>1</v>
      </c>
      <c r="AD230" s="379">
        <v>1</v>
      </c>
      <c r="AE230" s="379">
        <v>1</v>
      </c>
      <c r="AF230" s="379"/>
      <c r="AG230" s="380">
        <v>0</v>
      </c>
      <c r="AH230" s="380">
        <v>0</v>
      </c>
      <c r="AI230" s="380">
        <v>0</v>
      </c>
      <c r="AJ230" s="380">
        <v>0</v>
      </c>
      <c r="AL230" s="366"/>
    </row>
    <row r="231" spans="1:39" s="1" customFormat="1" ht="12.75" customHeight="1" x14ac:dyDescent="0.25">
      <c r="A231" s="369">
        <f t="shared" si="19"/>
        <v>25</v>
      </c>
      <c r="B231" s="408"/>
      <c r="C231" s="612" t="s">
        <v>161</v>
      </c>
      <c r="D231" s="612"/>
      <c r="E231" s="612"/>
      <c r="F231" s="612"/>
      <c r="G231" s="612"/>
      <c r="H231" s="612"/>
      <c r="I231" s="612"/>
      <c r="J231" s="612"/>
      <c r="K231" s="612"/>
      <c r="L231" s="613"/>
      <c r="M231" s="620" t="s">
        <v>238</v>
      </c>
      <c r="N231" s="620"/>
      <c r="O231" s="620"/>
      <c r="P231" s="620"/>
      <c r="Q231" s="581" t="s">
        <v>755</v>
      </c>
      <c r="R231" s="582"/>
      <c r="S231" s="582"/>
      <c r="T231" s="583"/>
      <c r="U231" s="580"/>
      <c r="V231" s="580"/>
      <c r="W231" s="580"/>
      <c r="X231" s="580"/>
      <c r="Z231" s="386">
        <f t="shared" si="18"/>
        <v>1</v>
      </c>
      <c r="AA231" s="380">
        <v>0</v>
      </c>
      <c r="AB231" s="380">
        <v>0</v>
      </c>
      <c r="AC231" s="379">
        <v>1</v>
      </c>
      <c r="AD231" s="379">
        <v>1</v>
      </c>
      <c r="AE231" s="379">
        <v>1</v>
      </c>
      <c r="AF231" s="379"/>
      <c r="AG231" s="380">
        <v>0</v>
      </c>
      <c r="AH231" s="380">
        <v>0</v>
      </c>
      <c r="AI231" s="380">
        <v>0</v>
      </c>
      <c r="AJ231" s="380">
        <v>0</v>
      </c>
      <c r="AL231" s="366"/>
    </row>
    <row r="232" spans="1:39" s="5" customFormat="1" ht="12.75" customHeight="1" x14ac:dyDescent="0.25">
      <c r="A232" s="369">
        <f t="shared" si="19"/>
        <v>26</v>
      </c>
      <c r="B232" s="403"/>
      <c r="C232" s="612" t="s">
        <v>378</v>
      </c>
      <c r="D232" s="612"/>
      <c r="E232" s="612"/>
      <c r="F232" s="612"/>
      <c r="G232" s="612"/>
      <c r="H232" s="612"/>
      <c r="I232" s="612"/>
      <c r="J232" s="612"/>
      <c r="K232" s="612"/>
      <c r="L232" s="613"/>
      <c r="M232" s="360" t="s">
        <v>238</v>
      </c>
      <c r="N232" s="631" t="s">
        <v>197</v>
      </c>
      <c r="O232" s="613"/>
      <c r="P232" s="360" t="s">
        <v>238</v>
      </c>
      <c r="Q232" s="631" t="s">
        <v>198</v>
      </c>
      <c r="R232" s="613"/>
      <c r="S232" s="360" t="s">
        <v>238</v>
      </c>
      <c r="T232" s="631" t="s">
        <v>754</v>
      </c>
      <c r="U232" s="613"/>
      <c r="V232" s="360" t="s">
        <v>238</v>
      </c>
      <c r="W232" s="631" t="s">
        <v>71</v>
      </c>
      <c r="X232" s="615"/>
      <c r="Y232" s="369"/>
      <c r="Z232" s="386">
        <f t="shared" si="18"/>
        <v>1</v>
      </c>
      <c r="AA232" s="380">
        <v>0</v>
      </c>
      <c r="AB232" s="380">
        <v>0</v>
      </c>
      <c r="AC232" s="379">
        <v>1</v>
      </c>
      <c r="AD232" s="379">
        <v>1</v>
      </c>
      <c r="AE232" s="379">
        <v>1</v>
      </c>
      <c r="AF232" s="379"/>
      <c r="AG232" s="380">
        <v>0</v>
      </c>
      <c r="AH232" s="380">
        <v>0</v>
      </c>
      <c r="AI232" s="380">
        <v>0</v>
      </c>
      <c r="AJ232" s="380">
        <v>0</v>
      </c>
      <c r="AL232" s="365"/>
    </row>
    <row r="233" spans="1:39" s="1" customFormat="1" ht="12.75" customHeight="1" x14ac:dyDescent="0.25">
      <c r="A233" s="369"/>
      <c r="B233" s="371"/>
      <c r="C233" s="612"/>
      <c r="D233" s="612"/>
      <c r="E233" s="612"/>
      <c r="F233" s="612"/>
      <c r="G233" s="612"/>
      <c r="H233" s="612"/>
      <c r="I233" s="612"/>
      <c r="J233" s="612"/>
      <c r="K233" s="612"/>
      <c r="L233" s="612"/>
      <c r="M233" s="612"/>
      <c r="N233" s="612"/>
      <c r="O233" s="612"/>
      <c r="P233" s="612"/>
      <c r="Q233" s="612"/>
      <c r="R233" s="612"/>
      <c r="S233" s="612"/>
      <c r="T233" s="612"/>
      <c r="U233" s="612"/>
      <c r="V233" s="612"/>
      <c r="W233" s="612"/>
      <c r="X233" s="612"/>
      <c r="Y233" s="371"/>
      <c r="Z233" s="386" t="s">
        <v>2</v>
      </c>
      <c r="AA233" s="379" t="s">
        <v>2</v>
      </c>
      <c r="AB233" s="379" t="s">
        <v>2</v>
      </c>
      <c r="AC233" s="379" t="s">
        <v>2</v>
      </c>
      <c r="AD233" s="379" t="s">
        <v>2</v>
      </c>
      <c r="AE233" s="379" t="s">
        <v>2</v>
      </c>
      <c r="AF233" s="379"/>
      <c r="AG233" s="379" t="s">
        <v>2</v>
      </c>
      <c r="AH233" s="379" t="s">
        <v>2</v>
      </c>
      <c r="AI233" s="379" t="s">
        <v>2</v>
      </c>
      <c r="AJ233" s="379" t="s">
        <v>2</v>
      </c>
      <c r="AL233" s="366"/>
    </row>
    <row r="234" spans="1:39" s="543" customFormat="1" ht="12.75" customHeight="1" x14ac:dyDescent="0.25">
      <c r="A234" s="540"/>
      <c r="B234" s="541" t="s">
        <v>705</v>
      </c>
      <c r="C234" s="637" t="s">
        <v>41</v>
      </c>
      <c r="D234" s="637"/>
      <c r="E234" s="637"/>
      <c r="F234" s="637"/>
      <c r="G234" s="637"/>
      <c r="H234" s="637"/>
      <c r="I234" s="637"/>
      <c r="J234" s="637"/>
      <c r="K234" s="637"/>
      <c r="L234" s="637"/>
      <c r="V234" s="555"/>
      <c r="W234" s="555"/>
      <c r="X234" s="555"/>
      <c r="Y234" s="545"/>
      <c r="Z234" s="546" t="s">
        <v>2</v>
      </c>
      <c r="AA234" s="548" t="s">
        <v>2</v>
      </c>
      <c r="AB234" s="548" t="s">
        <v>2</v>
      </c>
      <c r="AC234" s="548" t="s">
        <v>2</v>
      </c>
      <c r="AD234" s="548" t="s">
        <v>2</v>
      </c>
      <c r="AE234" s="548" t="s">
        <v>2</v>
      </c>
      <c r="AF234" s="548"/>
      <c r="AG234" s="548" t="s">
        <v>2</v>
      </c>
      <c r="AH234" s="548" t="s">
        <v>2</v>
      </c>
      <c r="AI234" s="548" t="s">
        <v>2</v>
      </c>
      <c r="AJ234" s="548" t="s">
        <v>2</v>
      </c>
      <c r="AL234" s="550"/>
      <c r="AM234" s="549"/>
    </row>
    <row r="235" spans="1:39" s="46" customFormat="1" ht="12.75" customHeight="1" x14ac:dyDescent="0.25">
      <c r="A235" s="48"/>
      <c r="B235" s="347"/>
      <c r="C235" s="364"/>
      <c r="D235" s="364"/>
      <c r="E235" s="364"/>
      <c r="F235" s="364"/>
      <c r="G235" s="364"/>
      <c r="H235" s="364"/>
      <c r="I235" s="364"/>
      <c r="J235" s="364"/>
      <c r="K235" s="364"/>
      <c r="L235" s="364"/>
      <c r="M235" s="703" t="s">
        <v>125</v>
      </c>
      <c r="N235" s="703"/>
      <c r="O235" s="703"/>
      <c r="P235" s="703"/>
      <c r="Q235" s="50"/>
      <c r="R235" s="703" t="s">
        <v>164</v>
      </c>
      <c r="S235" s="703"/>
      <c r="T235" s="703"/>
      <c r="U235" s="703"/>
      <c r="V235" s="47"/>
      <c r="W235" s="47"/>
      <c r="X235" s="47"/>
      <c r="Y235" s="45"/>
      <c r="Z235" s="386" t="s">
        <v>2</v>
      </c>
      <c r="AA235" s="379" t="s">
        <v>2</v>
      </c>
      <c r="AB235" s="379" t="s">
        <v>2</v>
      </c>
      <c r="AC235" s="379" t="s">
        <v>2</v>
      </c>
      <c r="AD235" s="379" t="s">
        <v>2</v>
      </c>
      <c r="AE235" s="379" t="s">
        <v>2</v>
      </c>
      <c r="AF235" s="379"/>
      <c r="AG235" s="379" t="s">
        <v>2</v>
      </c>
      <c r="AH235" s="379" t="s">
        <v>2</v>
      </c>
      <c r="AI235" s="379" t="s">
        <v>2</v>
      </c>
      <c r="AJ235" s="379" t="s">
        <v>2</v>
      </c>
      <c r="AL235" s="366"/>
      <c r="AM235" s="1"/>
    </row>
    <row r="236" spans="1:39" s="1" customFormat="1" ht="12.75" customHeight="1" x14ac:dyDescent="0.25">
      <c r="A236" s="369">
        <v>1</v>
      </c>
      <c r="B236" s="402"/>
      <c r="C236" s="612" t="s">
        <v>108</v>
      </c>
      <c r="D236" s="612"/>
      <c r="E236" s="612"/>
      <c r="F236" s="612"/>
      <c r="G236" s="612"/>
      <c r="H236" s="612"/>
      <c r="I236" s="612"/>
      <c r="J236" s="612"/>
      <c r="K236" s="612"/>
      <c r="L236" s="613"/>
      <c r="M236" s="605"/>
      <c r="N236" s="621"/>
      <c r="O236" s="621"/>
      <c r="P236" s="606"/>
      <c r="Q236" s="2"/>
      <c r="R236" s="605"/>
      <c r="S236" s="621"/>
      <c r="T236" s="621"/>
      <c r="U236" s="606"/>
      <c r="X236" s="9"/>
      <c r="Y236" s="371"/>
      <c r="Z236" s="386">
        <f t="shared" ref="Z236:Z255" si="20">IF(Z$3=0,0,IF(Z$3=1,AA236,IF(Z$3=2,AB236,IF(Z$3=3,AC236,IF(Z$3=4,AD236,IF(Z$3=5,AE236,IF(Z$3=6,AG236,IF(Z$3=7,AH236,IF(Z$3=8,AI236,IF(Z$3=9,AJ236,0))))))))))</f>
        <v>1</v>
      </c>
      <c r="AA236" s="380">
        <v>0</v>
      </c>
      <c r="AB236" s="380">
        <v>1</v>
      </c>
      <c r="AC236" s="379">
        <v>1</v>
      </c>
      <c r="AD236" s="379">
        <v>1</v>
      </c>
      <c r="AE236" s="379">
        <v>1</v>
      </c>
      <c r="AF236" s="379"/>
      <c r="AG236" s="380">
        <v>0</v>
      </c>
      <c r="AH236" s="380">
        <v>0</v>
      </c>
      <c r="AI236" s="380">
        <v>0</v>
      </c>
      <c r="AJ236" s="380">
        <v>0</v>
      </c>
      <c r="AL236" s="366"/>
    </row>
    <row r="237" spans="1:39" s="1" customFormat="1" ht="12.75" customHeight="1" x14ac:dyDescent="0.25">
      <c r="A237" s="369">
        <f>A236+1</f>
        <v>2</v>
      </c>
      <c r="B237" s="402"/>
      <c r="C237" s="612" t="s">
        <v>165</v>
      </c>
      <c r="D237" s="612"/>
      <c r="E237" s="612"/>
      <c r="F237" s="612"/>
      <c r="G237" s="612"/>
      <c r="H237" s="612"/>
      <c r="I237" s="612"/>
      <c r="J237" s="612"/>
      <c r="K237" s="612"/>
      <c r="L237" s="613"/>
      <c r="M237" s="605"/>
      <c r="N237" s="606"/>
      <c r="O237" s="2"/>
      <c r="P237" s="9"/>
      <c r="Q237" s="2"/>
      <c r="R237" s="605"/>
      <c r="S237" s="606"/>
      <c r="T237" s="2"/>
      <c r="U237" s="2"/>
      <c r="X237" s="9"/>
      <c r="Y237" s="371"/>
      <c r="Z237" s="386">
        <f t="shared" si="20"/>
        <v>1</v>
      </c>
      <c r="AA237" s="380">
        <v>0</v>
      </c>
      <c r="AB237" s="380">
        <v>1</v>
      </c>
      <c r="AC237" s="379">
        <v>1</v>
      </c>
      <c r="AD237" s="379">
        <v>1</v>
      </c>
      <c r="AE237" s="379">
        <v>1</v>
      </c>
      <c r="AF237" s="379"/>
      <c r="AG237" s="380">
        <v>0</v>
      </c>
      <c r="AH237" s="380">
        <v>0</v>
      </c>
      <c r="AI237" s="380">
        <v>0</v>
      </c>
      <c r="AJ237" s="380">
        <v>0</v>
      </c>
      <c r="AL237" s="366"/>
    </row>
    <row r="238" spans="1:39" s="1" customFormat="1" ht="12.75" customHeight="1" x14ac:dyDescent="0.25">
      <c r="A238" s="369">
        <f t="shared" ref="A238:A245" si="21">A237+1</f>
        <v>3</v>
      </c>
      <c r="B238" s="584" t="s">
        <v>818</v>
      </c>
      <c r="C238" s="612" t="s">
        <v>395</v>
      </c>
      <c r="D238" s="612"/>
      <c r="E238" s="612"/>
      <c r="F238" s="612"/>
      <c r="G238" s="612"/>
      <c r="H238" s="612"/>
      <c r="I238" s="612"/>
      <c r="J238" s="612"/>
      <c r="K238" s="612"/>
      <c r="L238" s="613"/>
      <c r="M238" s="360" t="s">
        <v>238</v>
      </c>
      <c r="N238" s="581" t="s">
        <v>383</v>
      </c>
      <c r="O238" s="582"/>
      <c r="P238" s="605"/>
      <c r="Q238" s="606"/>
      <c r="R238" s="360" t="s">
        <v>238</v>
      </c>
      <c r="S238" s="581" t="s">
        <v>383</v>
      </c>
      <c r="T238" s="582"/>
      <c r="U238" s="605"/>
      <c r="V238" s="606"/>
      <c r="X238" s="9"/>
      <c r="Y238" s="371"/>
      <c r="Z238" s="386">
        <f t="shared" si="20"/>
        <v>1</v>
      </c>
      <c r="AA238" s="380">
        <v>0</v>
      </c>
      <c r="AB238" s="380">
        <v>0</v>
      </c>
      <c r="AC238" s="379">
        <v>1</v>
      </c>
      <c r="AD238" s="379">
        <v>1</v>
      </c>
      <c r="AE238" s="379">
        <v>1</v>
      </c>
      <c r="AF238" s="379"/>
      <c r="AG238" s="380">
        <v>0</v>
      </c>
      <c r="AH238" s="380">
        <v>0</v>
      </c>
      <c r="AI238" s="380">
        <v>0</v>
      </c>
      <c r="AJ238" s="380">
        <v>0</v>
      </c>
      <c r="AL238" s="366"/>
    </row>
    <row r="239" spans="1:39" s="1" customFormat="1" ht="12.75" customHeight="1" x14ac:dyDescent="0.25">
      <c r="A239" s="369">
        <f t="shared" si="21"/>
        <v>4</v>
      </c>
      <c r="B239" s="585"/>
      <c r="C239" s="578" t="s">
        <v>382</v>
      </c>
      <c r="D239" s="578"/>
      <c r="E239" s="578"/>
      <c r="F239" s="578"/>
      <c r="G239" s="578"/>
      <c r="H239" s="578"/>
      <c r="I239" s="578"/>
      <c r="J239" s="578"/>
      <c r="K239" s="578"/>
      <c r="L239" s="579"/>
      <c r="M239" s="605"/>
      <c r="N239" s="606"/>
      <c r="O239" s="2"/>
      <c r="P239" s="9"/>
      <c r="Q239" s="2"/>
      <c r="R239" s="605"/>
      <c r="S239" s="606"/>
      <c r="T239" s="2"/>
      <c r="U239" s="2"/>
      <c r="X239" s="9"/>
      <c r="Y239" s="371"/>
      <c r="Z239" s="386">
        <f t="shared" si="20"/>
        <v>1</v>
      </c>
      <c r="AA239" s="380">
        <v>0</v>
      </c>
      <c r="AB239" s="380">
        <v>0</v>
      </c>
      <c r="AC239" s="379">
        <v>1</v>
      </c>
      <c r="AD239" s="379">
        <v>1</v>
      </c>
      <c r="AE239" s="379">
        <v>1</v>
      </c>
      <c r="AF239" s="379"/>
      <c r="AG239" s="380">
        <v>0</v>
      </c>
      <c r="AH239" s="380">
        <v>0</v>
      </c>
      <c r="AI239" s="380">
        <v>0</v>
      </c>
      <c r="AJ239" s="380">
        <v>0</v>
      </c>
      <c r="AL239" s="366"/>
    </row>
    <row r="240" spans="1:39" s="1" customFormat="1" ht="12.75" customHeight="1" x14ac:dyDescent="0.25">
      <c r="A240" s="369">
        <f t="shared" si="21"/>
        <v>5</v>
      </c>
      <c r="B240" s="585"/>
      <c r="C240" s="578" t="s">
        <v>43</v>
      </c>
      <c r="D240" s="578"/>
      <c r="E240" s="578"/>
      <c r="F240" s="578"/>
      <c r="G240" s="578"/>
      <c r="H240" s="578"/>
      <c r="I240" s="578"/>
      <c r="J240" s="578"/>
      <c r="K240" s="578"/>
      <c r="L240" s="579"/>
      <c r="M240" s="605"/>
      <c r="N240" s="621"/>
      <c r="O240" s="621"/>
      <c r="P240" s="606"/>
      <c r="Q240" s="2"/>
      <c r="R240" s="605"/>
      <c r="S240" s="621"/>
      <c r="T240" s="621"/>
      <c r="U240" s="606"/>
      <c r="X240" s="9"/>
      <c r="Y240" s="371"/>
      <c r="Z240" s="386">
        <f t="shared" si="20"/>
        <v>1</v>
      </c>
      <c r="AA240" s="380">
        <v>0</v>
      </c>
      <c r="AB240" s="380">
        <v>0</v>
      </c>
      <c r="AC240" s="379">
        <v>1</v>
      </c>
      <c r="AD240" s="379">
        <v>1</v>
      </c>
      <c r="AE240" s="379">
        <v>1</v>
      </c>
      <c r="AF240" s="379"/>
      <c r="AG240" s="380">
        <v>0</v>
      </c>
      <c r="AH240" s="380">
        <v>0</v>
      </c>
      <c r="AI240" s="380">
        <v>0</v>
      </c>
      <c r="AJ240" s="380">
        <v>0</v>
      </c>
      <c r="AL240" s="366"/>
    </row>
    <row r="241" spans="1:38" s="1" customFormat="1" ht="12.75" customHeight="1" x14ac:dyDescent="0.25">
      <c r="A241" s="369">
        <f t="shared" si="21"/>
        <v>6</v>
      </c>
      <c r="B241" s="585"/>
      <c r="C241" s="612" t="s">
        <v>416</v>
      </c>
      <c r="D241" s="612"/>
      <c r="E241" s="612"/>
      <c r="F241" s="612"/>
      <c r="G241" s="612"/>
      <c r="H241" s="612"/>
      <c r="I241" s="612"/>
      <c r="J241" s="612"/>
      <c r="K241" s="612"/>
      <c r="L241" s="613"/>
      <c r="M241" s="699">
        <f>I48</f>
        <v>0</v>
      </c>
      <c r="N241" s="681"/>
      <c r="O241" s="701"/>
      <c r="P241" s="702"/>
      <c r="Q241" s="2"/>
      <c r="R241" s="699" t="e">
        <f>I49</f>
        <v>#DIV/0!</v>
      </c>
      <c r="S241" s="700"/>
      <c r="T241" s="701"/>
      <c r="U241" s="702"/>
      <c r="X241" s="9"/>
      <c r="Y241" s="371"/>
      <c r="Z241" s="386">
        <f t="shared" si="20"/>
        <v>1</v>
      </c>
      <c r="AA241" s="380">
        <v>0</v>
      </c>
      <c r="AB241" s="380">
        <v>0</v>
      </c>
      <c r="AC241" s="379">
        <v>1</v>
      </c>
      <c r="AD241" s="379">
        <v>1</v>
      </c>
      <c r="AE241" s="379">
        <v>1</v>
      </c>
      <c r="AF241" s="379"/>
      <c r="AG241" s="380">
        <v>0</v>
      </c>
      <c r="AH241" s="380">
        <v>0</v>
      </c>
      <c r="AI241" s="380">
        <v>0</v>
      </c>
      <c r="AJ241" s="380">
        <v>0</v>
      </c>
      <c r="AL241" s="366"/>
    </row>
    <row r="242" spans="1:38" s="1" customFormat="1" ht="12.75" customHeight="1" x14ac:dyDescent="0.25">
      <c r="A242" s="369">
        <f t="shared" si="21"/>
        <v>7</v>
      </c>
      <c r="B242" s="586"/>
      <c r="C242" s="612" t="s">
        <v>462</v>
      </c>
      <c r="D242" s="612"/>
      <c r="E242" s="612"/>
      <c r="F242" s="612"/>
      <c r="G242" s="612"/>
      <c r="H242" s="612"/>
      <c r="I242" s="612"/>
      <c r="J242" s="612"/>
      <c r="K242" s="612"/>
      <c r="L242" s="613"/>
      <c r="M242" s="657"/>
      <c r="N242" s="658"/>
      <c r="O242" s="687"/>
      <c r="P242" s="688"/>
      <c r="Q242" s="2"/>
      <c r="R242" s="657"/>
      <c r="S242" s="658"/>
      <c r="T242" s="687"/>
      <c r="U242" s="688"/>
      <c r="X242" s="9"/>
      <c r="Y242" s="371"/>
      <c r="Z242" s="386">
        <f t="shared" si="20"/>
        <v>1</v>
      </c>
      <c r="AA242" s="380">
        <v>0</v>
      </c>
      <c r="AB242" s="380">
        <v>0</v>
      </c>
      <c r="AC242" s="379">
        <v>1</v>
      </c>
      <c r="AD242" s="379">
        <v>1</v>
      </c>
      <c r="AE242" s="379">
        <v>1</v>
      </c>
      <c r="AF242" s="379"/>
      <c r="AG242" s="380">
        <v>0</v>
      </c>
      <c r="AH242" s="380">
        <v>0</v>
      </c>
      <c r="AI242" s="380">
        <v>0</v>
      </c>
      <c r="AJ242" s="380">
        <v>0</v>
      </c>
      <c r="AL242" s="366"/>
    </row>
    <row r="243" spans="1:38" s="1" customFormat="1" ht="12.75" customHeight="1" x14ac:dyDescent="0.25">
      <c r="A243" s="355">
        <f t="shared" si="21"/>
        <v>8</v>
      </c>
      <c r="B243" s="402"/>
      <c r="C243" s="612" t="s">
        <v>415</v>
      </c>
      <c r="D243" s="612"/>
      <c r="E243" s="612"/>
      <c r="F243" s="612"/>
      <c r="G243" s="612"/>
      <c r="H243" s="612"/>
      <c r="I243" s="612"/>
      <c r="J243" s="612"/>
      <c r="K243" s="612"/>
      <c r="L243" s="613"/>
      <c r="M243" s="605"/>
      <c r="N243" s="621"/>
      <c r="O243" s="621"/>
      <c r="P243" s="606"/>
      <c r="Q243" s="362"/>
      <c r="R243" s="605"/>
      <c r="S243" s="621"/>
      <c r="T243" s="621"/>
      <c r="U243" s="606"/>
      <c r="X243" s="9"/>
      <c r="Y243" s="371"/>
      <c r="Z243" s="386">
        <f t="shared" si="20"/>
        <v>1</v>
      </c>
      <c r="AA243" s="380">
        <v>0</v>
      </c>
      <c r="AB243" s="380">
        <v>0</v>
      </c>
      <c r="AC243" s="380">
        <v>0</v>
      </c>
      <c r="AD243" s="379">
        <v>1</v>
      </c>
      <c r="AE243" s="379">
        <v>1</v>
      </c>
      <c r="AF243" s="379"/>
      <c r="AG243" s="380">
        <v>0</v>
      </c>
      <c r="AH243" s="380">
        <v>0</v>
      </c>
      <c r="AI243" s="380">
        <v>0</v>
      </c>
      <c r="AJ243" s="380">
        <v>0</v>
      </c>
      <c r="AL243" s="366"/>
    </row>
    <row r="244" spans="1:38" s="1" customFormat="1" ht="12.75" customHeight="1" x14ac:dyDescent="0.25">
      <c r="A244" s="369">
        <f t="shared" si="21"/>
        <v>9</v>
      </c>
      <c r="B244" s="402"/>
      <c r="C244" s="612" t="s">
        <v>166</v>
      </c>
      <c r="D244" s="612"/>
      <c r="E244" s="612"/>
      <c r="F244" s="612"/>
      <c r="G244" s="612"/>
      <c r="H244" s="612"/>
      <c r="I244" s="612"/>
      <c r="J244" s="612"/>
      <c r="K244" s="612"/>
      <c r="L244" s="613"/>
      <c r="M244" s="605"/>
      <c r="N244" s="606"/>
      <c r="O244" s="362"/>
      <c r="P244" s="9"/>
      <c r="Q244" s="362"/>
      <c r="R244" s="605"/>
      <c r="S244" s="606"/>
      <c r="T244" s="362"/>
      <c r="U244" s="362"/>
      <c r="X244" s="9"/>
      <c r="Y244" s="371"/>
      <c r="Z244" s="386">
        <f t="shared" si="20"/>
        <v>1</v>
      </c>
      <c r="AA244" s="380">
        <v>0</v>
      </c>
      <c r="AB244" s="380">
        <v>0</v>
      </c>
      <c r="AC244" s="379">
        <v>1</v>
      </c>
      <c r="AD244" s="379">
        <v>1</v>
      </c>
      <c r="AE244" s="379">
        <v>1</v>
      </c>
      <c r="AF244" s="379"/>
      <c r="AG244" s="380">
        <v>0</v>
      </c>
      <c r="AH244" s="380">
        <v>0</v>
      </c>
      <c r="AI244" s="380">
        <v>0</v>
      </c>
      <c r="AJ244" s="380">
        <v>0</v>
      </c>
      <c r="AL244" s="366"/>
    </row>
    <row r="245" spans="1:38" s="1" customFormat="1" ht="12.75" customHeight="1" x14ac:dyDescent="0.25">
      <c r="A245" s="369">
        <f t="shared" si="21"/>
        <v>10</v>
      </c>
      <c r="B245" s="402"/>
      <c r="C245" s="612" t="s">
        <v>109</v>
      </c>
      <c r="D245" s="612"/>
      <c r="E245" s="612"/>
      <c r="F245" s="612"/>
      <c r="G245" s="612"/>
      <c r="H245" s="612"/>
      <c r="I245" s="612"/>
      <c r="J245" s="612"/>
      <c r="K245" s="612"/>
      <c r="L245" s="613"/>
      <c r="M245" s="605"/>
      <c r="N245" s="606"/>
      <c r="O245" s="2"/>
      <c r="P245" s="9"/>
      <c r="Q245" s="2"/>
      <c r="R245" s="605"/>
      <c r="S245" s="606"/>
      <c r="T245" s="2"/>
      <c r="U245" s="2"/>
      <c r="X245" s="9"/>
      <c r="Y245" s="371"/>
      <c r="Z245" s="386">
        <f t="shared" si="20"/>
        <v>1</v>
      </c>
      <c r="AA245" s="380">
        <v>0</v>
      </c>
      <c r="AB245" s="380">
        <v>0</v>
      </c>
      <c r="AC245" s="379">
        <v>1</v>
      </c>
      <c r="AD245" s="379">
        <v>1</v>
      </c>
      <c r="AE245" s="379">
        <v>1</v>
      </c>
      <c r="AF245" s="379"/>
      <c r="AG245" s="380">
        <v>0</v>
      </c>
      <c r="AH245" s="380">
        <v>0</v>
      </c>
      <c r="AI245" s="380">
        <v>0</v>
      </c>
      <c r="AJ245" s="380">
        <v>0</v>
      </c>
      <c r="AL245" s="366"/>
    </row>
    <row r="246" spans="1:38" s="1" customFormat="1" ht="12.75" customHeight="1" x14ac:dyDescent="0.25">
      <c r="A246" s="369">
        <f t="shared" ref="A246:A255" si="22">A245+1</f>
        <v>11</v>
      </c>
      <c r="B246" s="402"/>
      <c r="C246" s="612" t="s">
        <v>384</v>
      </c>
      <c r="D246" s="612"/>
      <c r="E246" s="612"/>
      <c r="F246" s="612"/>
      <c r="G246" s="612"/>
      <c r="H246" s="612"/>
      <c r="I246" s="612"/>
      <c r="J246" s="612"/>
      <c r="K246" s="612"/>
      <c r="L246" s="613"/>
      <c r="M246" s="669">
        <f>M245+R245</f>
        <v>0</v>
      </c>
      <c r="N246" s="670"/>
      <c r="O246" s="685" t="e">
        <f>ROUND(M246/M155/1000*100,2)</f>
        <v>#DIV/0!</v>
      </c>
      <c r="P246" s="686"/>
      <c r="Q246" s="1" t="s">
        <v>26</v>
      </c>
      <c r="R246" s="598" t="s">
        <v>758</v>
      </c>
      <c r="S246" s="599"/>
      <c r="T246" s="599"/>
      <c r="U246" s="600"/>
      <c r="V246" s="360" t="s">
        <v>238</v>
      </c>
      <c r="X246" s="9"/>
      <c r="Y246" s="371"/>
      <c r="Z246" s="386">
        <f t="shared" si="20"/>
        <v>1</v>
      </c>
      <c r="AA246" s="380">
        <v>0</v>
      </c>
      <c r="AB246" s="380">
        <v>0</v>
      </c>
      <c r="AC246" s="379">
        <v>1</v>
      </c>
      <c r="AD246" s="379">
        <v>1</v>
      </c>
      <c r="AE246" s="379">
        <v>1</v>
      </c>
      <c r="AF246" s="379"/>
      <c r="AG246" s="380">
        <v>0</v>
      </c>
      <c r="AH246" s="380">
        <v>0</v>
      </c>
      <c r="AI246" s="380">
        <v>0</v>
      </c>
      <c r="AJ246" s="380">
        <v>0</v>
      </c>
      <c r="AL246" s="366"/>
    </row>
    <row r="247" spans="1:38" s="1" customFormat="1" ht="12.75" customHeight="1" x14ac:dyDescent="0.25">
      <c r="A247" s="369">
        <f t="shared" si="22"/>
        <v>12</v>
      </c>
      <c r="B247" s="402"/>
      <c r="C247" s="615" t="s">
        <v>113</v>
      </c>
      <c r="D247" s="615"/>
      <c r="E247" s="615"/>
      <c r="F247" s="615"/>
      <c r="G247" s="615"/>
      <c r="H247" s="615"/>
      <c r="I247" s="615"/>
      <c r="J247" s="615"/>
      <c r="K247" s="615"/>
      <c r="L247" s="615"/>
      <c r="M247" s="605"/>
      <c r="N247" s="621"/>
      <c r="O247" s="621"/>
      <c r="P247" s="606"/>
      <c r="R247" s="605"/>
      <c r="S247" s="621"/>
      <c r="T247" s="621"/>
      <c r="U247" s="606"/>
      <c r="Y247" s="371"/>
      <c r="Z247" s="386">
        <f t="shared" si="20"/>
        <v>1</v>
      </c>
      <c r="AA247" s="380">
        <v>0</v>
      </c>
      <c r="AB247" s="380">
        <v>1</v>
      </c>
      <c r="AC247" s="379">
        <v>1</v>
      </c>
      <c r="AD247" s="379">
        <v>1</v>
      </c>
      <c r="AE247" s="379">
        <v>1</v>
      </c>
      <c r="AF247" s="379"/>
      <c r="AG247" s="380">
        <v>0</v>
      </c>
      <c r="AH247" s="380">
        <v>0</v>
      </c>
      <c r="AI247" s="380">
        <v>0</v>
      </c>
      <c r="AJ247" s="380">
        <v>0</v>
      </c>
      <c r="AL247" s="366"/>
    </row>
    <row r="248" spans="1:38" s="1" customFormat="1" ht="12.75" customHeight="1" x14ac:dyDescent="0.25">
      <c r="A248" s="369">
        <f t="shared" si="22"/>
        <v>13</v>
      </c>
      <c r="B248" s="402"/>
      <c r="C248" s="615" t="s">
        <v>167</v>
      </c>
      <c r="D248" s="615"/>
      <c r="E248" s="615"/>
      <c r="F248" s="615"/>
      <c r="G248" s="615"/>
      <c r="H248" s="615"/>
      <c r="I248" s="615"/>
      <c r="J248" s="615"/>
      <c r="K248" s="615"/>
      <c r="L248" s="615"/>
      <c r="M248" s="605"/>
      <c r="N248" s="606"/>
      <c r="O248" s="362"/>
      <c r="P248" s="9"/>
      <c r="R248" s="605"/>
      <c r="S248" s="606"/>
      <c r="T248" s="362"/>
      <c r="U248" s="9"/>
      <c r="Y248" s="371"/>
      <c r="Z248" s="386">
        <f t="shared" si="20"/>
        <v>1</v>
      </c>
      <c r="AA248" s="380">
        <v>0</v>
      </c>
      <c r="AB248" s="380">
        <v>1</v>
      </c>
      <c r="AC248" s="379">
        <v>1</v>
      </c>
      <c r="AD248" s="379">
        <v>1</v>
      </c>
      <c r="AE248" s="379">
        <v>1</v>
      </c>
      <c r="AF248" s="379"/>
      <c r="AG248" s="380">
        <v>0</v>
      </c>
      <c r="AH248" s="380">
        <v>0</v>
      </c>
      <c r="AI248" s="380">
        <v>0</v>
      </c>
      <c r="AJ248" s="380">
        <v>0</v>
      </c>
      <c r="AL248" s="366"/>
    </row>
    <row r="249" spans="1:38" s="1" customFormat="1" ht="12.75" customHeight="1" x14ac:dyDescent="0.25">
      <c r="A249" s="369">
        <f t="shared" si="22"/>
        <v>14</v>
      </c>
      <c r="B249" s="402"/>
      <c r="C249" s="615" t="s">
        <v>168</v>
      </c>
      <c r="D249" s="615"/>
      <c r="E249" s="615"/>
      <c r="F249" s="615"/>
      <c r="G249" s="615"/>
      <c r="H249" s="615"/>
      <c r="I249" s="615"/>
      <c r="J249" s="615"/>
      <c r="K249" s="615"/>
      <c r="L249" s="615"/>
      <c r="M249" s="605"/>
      <c r="N249" s="606"/>
      <c r="O249" s="2"/>
      <c r="P249" s="9"/>
      <c r="R249" s="605"/>
      <c r="S249" s="606"/>
      <c r="T249" s="2"/>
      <c r="U249" s="9"/>
      <c r="Y249" s="371"/>
      <c r="Z249" s="386">
        <f t="shared" si="20"/>
        <v>1</v>
      </c>
      <c r="AA249" s="380">
        <v>0</v>
      </c>
      <c r="AB249" s="380">
        <v>1</v>
      </c>
      <c r="AC249" s="379">
        <v>1</v>
      </c>
      <c r="AD249" s="379">
        <v>1</v>
      </c>
      <c r="AE249" s="379">
        <v>1</v>
      </c>
      <c r="AF249" s="379"/>
      <c r="AG249" s="380">
        <v>0</v>
      </c>
      <c r="AH249" s="380">
        <v>0</v>
      </c>
      <c r="AI249" s="380">
        <v>0</v>
      </c>
      <c r="AJ249" s="380">
        <v>0</v>
      </c>
      <c r="AL249" s="366"/>
    </row>
    <row r="250" spans="1:38" s="1" customFormat="1" ht="12.75" customHeight="1" x14ac:dyDescent="0.25">
      <c r="A250" s="369">
        <f t="shared" si="22"/>
        <v>15</v>
      </c>
      <c r="B250" s="402"/>
      <c r="C250" s="615" t="s">
        <v>111</v>
      </c>
      <c r="D250" s="615"/>
      <c r="E250" s="615"/>
      <c r="F250" s="615"/>
      <c r="G250" s="615"/>
      <c r="H250" s="615"/>
      <c r="I250" s="615"/>
      <c r="J250" s="615"/>
      <c r="K250" s="615"/>
      <c r="L250" s="615"/>
      <c r="M250" s="605"/>
      <c r="N250" s="621"/>
      <c r="O250" s="621"/>
      <c r="P250" s="606"/>
      <c r="R250" s="605"/>
      <c r="S250" s="621"/>
      <c r="T250" s="621"/>
      <c r="U250" s="606"/>
      <c r="Y250" s="371"/>
      <c r="Z250" s="386">
        <f t="shared" si="20"/>
        <v>1</v>
      </c>
      <c r="AA250" s="380">
        <v>0</v>
      </c>
      <c r="AB250" s="380">
        <v>1</v>
      </c>
      <c r="AC250" s="379">
        <v>1</v>
      </c>
      <c r="AD250" s="379">
        <v>1</v>
      </c>
      <c r="AE250" s="379">
        <v>1</v>
      </c>
      <c r="AF250" s="379"/>
      <c r="AG250" s="380">
        <v>0</v>
      </c>
      <c r="AH250" s="380">
        <v>0</v>
      </c>
      <c r="AI250" s="380">
        <v>0</v>
      </c>
      <c r="AJ250" s="380">
        <v>0</v>
      </c>
      <c r="AL250" s="366"/>
    </row>
    <row r="251" spans="1:38" s="1" customFormat="1" ht="12.75" customHeight="1" x14ac:dyDescent="0.25">
      <c r="A251" s="369">
        <f t="shared" si="22"/>
        <v>16</v>
      </c>
      <c r="B251" s="402"/>
      <c r="C251" s="615" t="s">
        <v>114</v>
      </c>
      <c r="D251" s="615"/>
      <c r="E251" s="615"/>
      <c r="F251" s="615"/>
      <c r="G251" s="615"/>
      <c r="H251" s="615"/>
      <c r="I251" s="615"/>
      <c r="J251" s="615"/>
      <c r="K251" s="615"/>
      <c r="L251" s="615"/>
      <c r="M251" s="605"/>
      <c r="N251" s="621"/>
      <c r="O251" s="621"/>
      <c r="P251" s="606"/>
      <c r="R251" s="605"/>
      <c r="S251" s="621"/>
      <c r="T251" s="621"/>
      <c r="U251" s="606"/>
      <c r="Y251" s="371"/>
      <c r="Z251" s="386">
        <f t="shared" si="20"/>
        <v>1</v>
      </c>
      <c r="AA251" s="380">
        <v>0</v>
      </c>
      <c r="AB251" s="380">
        <v>1</v>
      </c>
      <c r="AC251" s="379">
        <v>1</v>
      </c>
      <c r="AD251" s="379">
        <v>1</v>
      </c>
      <c r="AE251" s="379">
        <v>1</v>
      </c>
      <c r="AF251" s="379"/>
      <c r="AG251" s="380">
        <v>0</v>
      </c>
      <c r="AH251" s="380">
        <v>0</v>
      </c>
      <c r="AI251" s="380">
        <v>0</v>
      </c>
      <c r="AJ251" s="380">
        <v>0</v>
      </c>
      <c r="AL251" s="366"/>
    </row>
    <row r="252" spans="1:38" s="1" customFormat="1" ht="12.75" customHeight="1" x14ac:dyDescent="0.25">
      <c r="A252" s="369">
        <f t="shared" si="22"/>
        <v>17</v>
      </c>
      <c r="B252" s="402"/>
      <c r="C252" s="615" t="s">
        <v>169</v>
      </c>
      <c r="D252" s="615"/>
      <c r="E252" s="615"/>
      <c r="F252" s="615"/>
      <c r="G252" s="615"/>
      <c r="H252" s="615"/>
      <c r="I252" s="615"/>
      <c r="J252" s="615"/>
      <c r="K252" s="615"/>
      <c r="L252" s="615"/>
      <c r="M252" s="605"/>
      <c r="N252" s="606"/>
      <c r="O252" s="362"/>
      <c r="P252" s="9"/>
      <c r="R252" s="605"/>
      <c r="S252" s="606"/>
      <c r="T252" s="362"/>
      <c r="U252" s="9"/>
      <c r="Y252" s="371"/>
      <c r="Z252" s="386">
        <f t="shared" si="20"/>
        <v>1</v>
      </c>
      <c r="AA252" s="380">
        <v>0</v>
      </c>
      <c r="AB252" s="380">
        <v>1</v>
      </c>
      <c r="AC252" s="379">
        <v>1</v>
      </c>
      <c r="AD252" s="379">
        <v>1</v>
      </c>
      <c r="AE252" s="379">
        <v>1</v>
      </c>
      <c r="AF252" s="379"/>
      <c r="AG252" s="380">
        <v>0</v>
      </c>
      <c r="AH252" s="380">
        <v>0</v>
      </c>
      <c r="AI252" s="380">
        <v>0</v>
      </c>
      <c r="AJ252" s="380">
        <v>0</v>
      </c>
      <c r="AL252" s="366"/>
    </row>
    <row r="253" spans="1:38" s="1" customFormat="1" ht="12.75" customHeight="1" x14ac:dyDescent="0.25">
      <c r="A253" s="369">
        <f t="shared" si="22"/>
        <v>18</v>
      </c>
      <c r="B253" s="402"/>
      <c r="C253" s="615" t="s">
        <v>170</v>
      </c>
      <c r="D253" s="615"/>
      <c r="E253" s="615"/>
      <c r="F253" s="615"/>
      <c r="G253" s="615"/>
      <c r="H253" s="615"/>
      <c r="I253" s="615"/>
      <c r="J253" s="615"/>
      <c r="K253" s="615"/>
      <c r="L253" s="615"/>
      <c r="M253" s="605"/>
      <c r="N253" s="606"/>
      <c r="O253" s="362"/>
      <c r="P253" s="9"/>
      <c r="R253" s="605"/>
      <c r="S253" s="606"/>
      <c r="T253" s="362"/>
      <c r="U253" s="9"/>
      <c r="Y253" s="371"/>
      <c r="Z253" s="386">
        <f t="shared" si="20"/>
        <v>1</v>
      </c>
      <c r="AA253" s="380">
        <v>0</v>
      </c>
      <c r="AB253" s="380">
        <v>1</v>
      </c>
      <c r="AC253" s="379">
        <v>1</v>
      </c>
      <c r="AD253" s="379">
        <v>1</v>
      </c>
      <c r="AE253" s="379">
        <v>1</v>
      </c>
      <c r="AF253" s="379"/>
      <c r="AG253" s="380">
        <v>0</v>
      </c>
      <c r="AH253" s="380">
        <v>0</v>
      </c>
      <c r="AI253" s="380">
        <v>0</v>
      </c>
      <c r="AJ253" s="380">
        <v>0</v>
      </c>
      <c r="AL253" s="366"/>
    </row>
    <row r="254" spans="1:38" s="1" customFormat="1" ht="12.75" customHeight="1" x14ac:dyDescent="0.25">
      <c r="A254" s="369">
        <f t="shared" si="22"/>
        <v>19</v>
      </c>
      <c r="B254" s="402"/>
      <c r="C254" s="615" t="s">
        <v>110</v>
      </c>
      <c r="D254" s="615"/>
      <c r="E254" s="615"/>
      <c r="F254" s="615"/>
      <c r="G254" s="615"/>
      <c r="H254" s="615"/>
      <c r="I254" s="615"/>
      <c r="J254" s="615"/>
      <c r="K254" s="615"/>
      <c r="L254" s="615"/>
      <c r="M254" s="605"/>
      <c r="N254" s="621"/>
      <c r="O254" s="621"/>
      <c r="P254" s="606"/>
      <c r="R254" s="605"/>
      <c r="S254" s="621"/>
      <c r="T254" s="621"/>
      <c r="U254" s="606"/>
      <c r="Y254" s="371"/>
      <c r="Z254" s="386">
        <f t="shared" si="20"/>
        <v>1</v>
      </c>
      <c r="AA254" s="380">
        <v>0</v>
      </c>
      <c r="AB254" s="380">
        <v>1</v>
      </c>
      <c r="AC254" s="379">
        <v>1</v>
      </c>
      <c r="AD254" s="379">
        <v>1</v>
      </c>
      <c r="AE254" s="379">
        <v>1</v>
      </c>
      <c r="AF254" s="379"/>
      <c r="AG254" s="380">
        <v>0</v>
      </c>
      <c r="AH254" s="380">
        <v>0</v>
      </c>
      <c r="AI254" s="380">
        <v>0</v>
      </c>
      <c r="AJ254" s="380">
        <v>0</v>
      </c>
      <c r="AL254" s="366" t="s">
        <v>521</v>
      </c>
    </row>
    <row r="255" spans="1:38" s="1" customFormat="1" ht="12.75" customHeight="1" x14ac:dyDescent="0.25">
      <c r="A255" s="369">
        <f t="shared" si="22"/>
        <v>20</v>
      </c>
      <c r="B255" s="402"/>
      <c r="C255" s="615" t="s">
        <v>520</v>
      </c>
      <c r="D255" s="615"/>
      <c r="E255" s="615"/>
      <c r="F255" s="615"/>
      <c r="G255" s="615"/>
      <c r="H255" s="615"/>
      <c r="I255" s="615"/>
      <c r="J255" s="615"/>
      <c r="K255" s="615"/>
      <c r="L255" s="613"/>
      <c r="M255" s="620" t="s">
        <v>238</v>
      </c>
      <c r="N255" s="620"/>
      <c r="O255" s="620"/>
      <c r="P255" s="634" t="s">
        <v>469</v>
      </c>
      <c r="Q255" s="636"/>
      <c r="R255" s="575"/>
      <c r="S255" s="576"/>
      <c r="T255" s="576"/>
      <c r="U255" s="576"/>
      <c r="V255" s="576"/>
      <c r="W255" s="576"/>
      <c r="X255" s="577"/>
      <c r="Y255" s="371"/>
      <c r="Z255" s="386">
        <f t="shared" si="20"/>
        <v>1</v>
      </c>
      <c r="AA255" s="380">
        <v>0</v>
      </c>
      <c r="AB255" s="380">
        <v>0</v>
      </c>
      <c r="AC255" s="379">
        <v>1</v>
      </c>
      <c r="AD255" s="379">
        <v>1</v>
      </c>
      <c r="AE255" s="379">
        <v>1</v>
      </c>
      <c r="AF255" s="379"/>
      <c r="AG255" s="380">
        <v>0</v>
      </c>
      <c r="AH255" s="380">
        <v>0</v>
      </c>
      <c r="AI255" s="380">
        <v>0</v>
      </c>
      <c r="AJ255" s="380">
        <v>0</v>
      </c>
      <c r="AL255" s="366" t="s">
        <v>757</v>
      </c>
    </row>
    <row r="256" spans="1:38" s="1" customFormat="1" ht="12.75" customHeight="1" x14ac:dyDescent="0.25">
      <c r="A256" s="369"/>
      <c r="B256" s="371"/>
      <c r="C256" s="626"/>
      <c r="D256" s="626"/>
      <c r="E256" s="626"/>
      <c r="F256" s="626"/>
      <c r="G256" s="626"/>
      <c r="H256" s="626"/>
      <c r="I256" s="626"/>
      <c r="J256" s="626"/>
      <c r="K256" s="626"/>
      <c r="L256" s="626"/>
      <c r="M256" s="626"/>
      <c r="N256" s="626"/>
      <c r="O256" s="626"/>
      <c r="P256" s="626"/>
      <c r="Q256" s="626"/>
      <c r="R256" s="626"/>
      <c r="S256" s="626"/>
      <c r="T256" s="626"/>
      <c r="U256" s="626"/>
      <c r="V256" s="626"/>
      <c r="W256" s="626"/>
      <c r="X256" s="626"/>
      <c r="Y256" s="371"/>
      <c r="Z256" s="386" t="s">
        <v>2</v>
      </c>
      <c r="AA256" s="380">
        <v>0</v>
      </c>
      <c r="AB256" s="380" t="s">
        <v>2</v>
      </c>
      <c r="AC256" s="379" t="s">
        <v>2</v>
      </c>
      <c r="AD256" s="379" t="s">
        <v>2</v>
      </c>
      <c r="AE256" s="379" t="s">
        <v>2</v>
      </c>
      <c r="AF256" s="379"/>
      <c r="AG256" s="380" t="s">
        <v>2</v>
      </c>
      <c r="AH256" s="380" t="s">
        <v>2</v>
      </c>
      <c r="AI256" s="380" t="s">
        <v>2</v>
      </c>
      <c r="AJ256" s="380" t="s">
        <v>2</v>
      </c>
      <c r="AL256" s="366" t="s">
        <v>721</v>
      </c>
    </row>
    <row r="257" spans="1:43" s="551" customFormat="1" ht="12.75" customHeight="1" x14ac:dyDescent="0.25">
      <c r="A257" s="540"/>
      <c r="B257" s="541" t="s">
        <v>706</v>
      </c>
      <c r="C257" s="637" t="s">
        <v>247</v>
      </c>
      <c r="D257" s="637"/>
      <c r="E257" s="637"/>
      <c r="F257" s="637"/>
      <c r="G257" s="637"/>
      <c r="H257" s="637"/>
      <c r="I257" s="637"/>
      <c r="J257" s="637"/>
      <c r="K257" s="637"/>
      <c r="L257" s="637"/>
      <c r="M257" s="541"/>
      <c r="N257" s="637"/>
      <c r="O257" s="637"/>
      <c r="P257" s="637"/>
      <c r="Q257" s="637"/>
      <c r="R257" s="637"/>
      <c r="S257" s="637"/>
      <c r="T257" s="637"/>
      <c r="U257" s="637"/>
      <c r="V257" s="637"/>
      <c r="W257" s="637"/>
      <c r="X257" s="541"/>
      <c r="Y257" s="541"/>
      <c r="Z257" s="546" t="s">
        <v>2</v>
      </c>
      <c r="AA257" s="547">
        <v>0</v>
      </c>
      <c r="AB257" s="547" t="s">
        <v>2</v>
      </c>
      <c r="AC257" s="548" t="s">
        <v>2</v>
      </c>
      <c r="AD257" s="548" t="s">
        <v>2</v>
      </c>
      <c r="AE257" s="548" t="s">
        <v>2</v>
      </c>
      <c r="AF257" s="548"/>
      <c r="AG257" s="547" t="s">
        <v>2</v>
      </c>
      <c r="AH257" s="547" t="s">
        <v>2</v>
      </c>
      <c r="AI257" s="547" t="s">
        <v>2</v>
      </c>
      <c r="AJ257" s="547" t="s">
        <v>2</v>
      </c>
      <c r="AL257" s="554" t="s">
        <v>238</v>
      </c>
      <c r="AM257" s="553"/>
    </row>
    <row r="258" spans="1:43" s="51" customFormat="1" ht="12.75" customHeight="1" x14ac:dyDescent="0.25">
      <c r="A258" s="48"/>
      <c r="B258" s="347"/>
      <c r="C258" s="364"/>
      <c r="D258" s="364"/>
      <c r="E258" s="364"/>
      <c r="F258" s="364"/>
      <c r="G258" s="364"/>
      <c r="H258" s="364"/>
      <c r="I258" s="364"/>
      <c r="J258" s="364"/>
      <c r="K258" s="364"/>
      <c r="L258" s="364"/>
      <c r="M258" s="347"/>
      <c r="N258" s="364"/>
      <c r="O258" s="364"/>
      <c r="P258" s="364"/>
      <c r="Q258" s="364"/>
      <c r="R258" s="364"/>
      <c r="S258" s="364"/>
      <c r="T258" s="364"/>
      <c r="U258" s="364"/>
      <c r="V258" s="364"/>
      <c r="W258" s="364"/>
      <c r="X258" s="347"/>
      <c r="Y258" s="44"/>
      <c r="Z258" s="386" t="s">
        <v>2</v>
      </c>
      <c r="AA258" s="380">
        <v>0</v>
      </c>
      <c r="AB258" s="380" t="s">
        <v>2</v>
      </c>
      <c r="AC258" s="379" t="s">
        <v>2</v>
      </c>
      <c r="AD258" s="379" t="s">
        <v>2</v>
      </c>
      <c r="AE258" s="379" t="s">
        <v>2</v>
      </c>
      <c r="AF258" s="379"/>
      <c r="AG258" s="380" t="s">
        <v>2</v>
      </c>
      <c r="AH258" s="380" t="s">
        <v>2</v>
      </c>
      <c r="AI258" s="380" t="s">
        <v>2</v>
      </c>
      <c r="AJ258" s="380" t="s">
        <v>2</v>
      </c>
      <c r="AL258" s="392"/>
      <c r="AM258" s="14"/>
    </row>
    <row r="259" spans="1:43" s="14" customFormat="1" ht="12.75" customHeight="1" x14ac:dyDescent="0.25">
      <c r="A259" s="369">
        <v>1</v>
      </c>
      <c r="B259" s="401"/>
      <c r="C259" s="615" t="s">
        <v>760</v>
      </c>
      <c r="D259" s="615"/>
      <c r="E259" s="615"/>
      <c r="F259" s="615"/>
      <c r="G259" s="615"/>
      <c r="H259" s="615"/>
      <c r="I259" s="615"/>
      <c r="J259" s="615"/>
      <c r="K259" s="615"/>
      <c r="L259" s="613"/>
      <c r="M259" s="627"/>
      <c r="N259" s="628"/>
      <c r="O259" s="629"/>
      <c r="P259" s="630"/>
      <c r="Q259" s="630"/>
      <c r="R259" s="630"/>
      <c r="S259" s="630"/>
      <c r="T259" s="630"/>
      <c r="U259" s="630"/>
      <c r="V259" s="630"/>
      <c r="W259" s="630"/>
      <c r="X259" s="630"/>
      <c r="Y259" s="370"/>
      <c r="Z259" s="386">
        <f t="shared" ref="Z259:Z279" si="23">IF(Z$3=0,0,IF(Z$3=1,AA259,IF(Z$3=2,AB259,IF(Z$3=3,AC259,IF(Z$3=4,AD259,IF(Z$3=5,AE259,IF(Z$3=6,AG259,IF(Z$3=7,AH259,IF(Z$3=8,AI259,IF(Z$3=9,AJ259,0))))))))))</f>
        <v>1</v>
      </c>
      <c r="AA259" s="380">
        <v>0</v>
      </c>
      <c r="AB259" s="379">
        <v>1</v>
      </c>
      <c r="AC259" s="379">
        <v>1</v>
      </c>
      <c r="AD259" s="379">
        <v>1</v>
      </c>
      <c r="AE259" s="379">
        <v>1</v>
      </c>
      <c r="AF259" s="379"/>
      <c r="AG259" s="379">
        <v>1</v>
      </c>
      <c r="AH259" s="379">
        <v>1</v>
      </c>
      <c r="AI259" s="379">
        <v>1</v>
      </c>
      <c r="AJ259" s="379">
        <v>1</v>
      </c>
      <c r="AL259" s="366" t="s">
        <v>766</v>
      </c>
    </row>
    <row r="260" spans="1:43" s="1" customFormat="1" ht="12.75" customHeight="1" x14ac:dyDescent="0.25">
      <c r="A260" s="369">
        <f t="shared" ref="A260:A279" si="24">A259+1</f>
        <v>2</v>
      </c>
      <c r="B260" s="402"/>
      <c r="C260" s="612" t="s">
        <v>761</v>
      </c>
      <c r="D260" s="612"/>
      <c r="E260" s="612"/>
      <c r="F260" s="612"/>
      <c r="G260" s="612"/>
      <c r="H260" s="612"/>
      <c r="I260" s="612"/>
      <c r="J260" s="612"/>
      <c r="K260" s="612"/>
      <c r="L260" s="613"/>
      <c r="M260" s="611" t="s">
        <v>238</v>
      </c>
      <c r="N260" s="611"/>
      <c r="O260" s="611"/>
      <c r="P260" s="611"/>
      <c r="Q260" s="580"/>
      <c r="R260" s="580"/>
      <c r="S260" s="580"/>
      <c r="T260" s="580"/>
      <c r="U260" s="580"/>
      <c r="V260" s="580"/>
      <c r="W260" s="580"/>
      <c r="X260" s="580"/>
      <c r="Y260" s="371"/>
      <c r="Z260" s="386">
        <f t="shared" si="23"/>
        <v>1</v>
      </c>
      <c r="AA260" s="380">
        <v>0</v>
      </c>
      <c r="AB260" s="379">
        <v>1</v>
      </c>
      <c r="AC260" s="379">
        <v>1</v>
      </c>
      <c r="AD260" s="379">
        <v>1</v>
      </c>
      <c r="AE260" s="379">
        <v>1</v>
      </c>
      <c r="AF260" s="379"/>
      <c r="AG260" s="379">
        <v>1</v>
      </c>
      <c r="AH260" s="379">
        <v>1</v>
      </c>
      <c r="AI260" s="379">
        <v>1</v>
      </c>
      <c r="AJ260" s="379">
        <v>1</v>
      </c>
      <c r="AL260" s="366" t="s">
        <v>784</v>
      </c>
      <c r="AN260" s="2"/>
      <c r="AO260" s="7"/>
      <c r="AP260" s="7"/>
      <c r="AQ260" s="7"/>
    </row>
    <row r="261" spans="1:43" s="1" customFormat="1" ht="12.75" customHeight="1" x14ac:dyDescent="0.25">
      <c r="A261" s="369">
        <f t="shared" si="24"/>
        <v>3</v>
      </c>
      <c r="B261" s="402"/>
      <c r="C261" s="612" t="s">
        <v>284</v>
      </c>
      <c r="D261" s="612"/>
      <c r="E261" s="612"/>
      <c r="F261" s="612"/>
      <c r="G261" s="612"/>
      <c r="H261" s="612"/>
      <c r="I261" s="612"/>
      <c r="J261" s="612"/>
      <c r="K261" s="612"/>
      <c r="L261" s="613"/>
      <c r="M261" s="611" t="s">
        <v>238</v>
      </c>
      <c r="N261" s="611"/>
      <c r="O261" s="611"/>
      <c r="P261" s="611"/>
      <c r="Q261" s="580"/>
      <c r="R261" s="580"/>
      <c r="S261" s="580"/>
      <c r="T261" s="580"/>
      <c r="U261" s="580"/>
      <c r="V261" s="580"/>
      <c r="W261" s="580"/>
      <c r="X261" s="580"/>
      <c r="Y261" s="371"/>
      <c r="Z261" s="386">
        <f t="shared" si="23"/>
        <v>1</v>
      </c>
      <c r="AA261" s="380">
        <v>0</v>
      </c>
      <c r="AB261" s="379">
        <v>1</v>
      </c>
      <c r="AC261" s="379">
        <v>1</v>
      </c>
      <c r="AD261" s="379">
        <v>1</v>
      </c>
      <c r="AE261" s="379">
        <v>1</v>
      </c>
      <c r="AF261" s="379"/>
      <c r="AG261" s="379">
        <v>1</v>
      </c>
      <c r="AH261" s="379">
        <v>1</v>
      </c>
      <c r="AI261" s="379">
        <v>1</v>
      </c>
      <c r="AJ261" s="379">
        <v>1</v>
      </c>
      <c r="AL261" s="366" t="s">
        <v>765</v>
      </c>
      <c r="AN261" s="2"/>
      <c r="AO261" s="7"/>
      <c r="AP261" s="7"/>
      <c r="AQ261" s="7"/>
    </row>
    <row r="262" spans="1:43" s="14" customFormat="1" ht="12.75" customHeight="1" x14ac:dyDescent="0.25">
      <c r="A262" s="369">
        <f t="shared" si="24"/>
        <v>4</v>
      </c>
      <c r="B262" s="401"/>
      <c r="C262" s="615" t="s">
        <v>762</v>
      </c>
      <c r="D262" s="615"/>
      <c r="E262" s="615"/>
      <c r="F262" s="615"/>
      <c r="G262" s="615"/>
      <c r="H262" s="615"/>
      <c r="I262" s="615"/>
      <c r="J262" s="615"/>
      <c r="K262" s="615"/>
      <c r="L262" s="613"/>
      <c r="M262" s="696"/>
      <c r="N262" s="697"/>
      <c r="O262" s="581" t="s">
        <v>295</v>
      </c>
      <c r="P262" s="582"/>
      <c r="Q262" s="580"/>
      <c r="R262" s="580"/>
      <c r="S262" s="580"/>
      <c r="T262" s="580"/>
      <c r="U262" s="580"/>
      <c r="V262" s="580"/>
      <c r="W262" s="580"/>
      <c r="X262" s="580"/>
      <c r="Y262" s="370"/>
      <c r="Z262" s="386">
        <f t="shared" si="23"/>
        <v>1</v>
      </c>
      <c r="AA262" s="380">
        <v>0</v>
      </c>
      <c r="AB262" s="379">
        <v>1</v>
      </c>
      <c r="AC262" s="379">
        <v>1</v>
      </c>
      <c r="AD262" s="379">
        <v>1</v>
      </c>
      <c r="AE262" s="379">
        <v>1</v>
      </c>
      <c r="AF262" s="379"/>
      <c r="AG262" s="379">
        <v>1</v>
      </c>
      <c r="AH262" s="379">
        <v>1</v>
      </c>
      <c r="AI262" s="379">
        <v>1</v>
      </c>
      <c r="AJ262" s="379">
        <v>1</v>
      </c>
      <c r="AL262" s="366" t="s">
        <v>721</v>
      </c>
      <c r="AN262" s="375"/>
      <c r="AO262" s="375"/>
      <c r="AP262" s="375"/>
      <c r="AQ262" s="375"/>
    </row>
    <row r="263" spans="1:43" s="14" customFormat="1" ht="12.75" customHeight="1" x14ac:dyDescent="0.25">
      <c r="A263" s="369">
        <f t="shared" si="24"/>
        <v>5</v>
      </c>
      <c r="B263" s="401"/>
      <c r="C263" s="615" t="s">
        <v>282</v>
      </c>
      <c r="D263" s="615"/>
      <c r="E263" s="615"/>
      <c r="F263" s="615"/>
      <c r="G263" s="615"/>
      <c r="H263" s="615"/>
      <c r="I263" s="615"/>
      <c r="J263" s="615"/>
      <c r="K263" s="615"/>
      <c r="L263" s="613"/>
      <c r="M263" s="605"/>
      <c r="N263" s="606"/>
      <c r="O263" s="582" t="s">
        <v>295</v>
      </c>
      <c r="P263" s="582"/>
      <c r="Q263" s="580"/>
      <c r="R263" s="580"/>
      <c r="S263" s="580"/>
      <c r="T263" s="580"/>
      <c r="U263" s="580"/>
      <c r="V263" s="580"/>
      <c r="W263" s="580"/>
      <c r="X263" s="580"/>
      <c r="Y263" s="370"/>
      <c r="Z263" s="386">
        <f t="shared" si="23"/>
        <v>1</v>
      </c>
      <c r="AA263" s="380">
        <v>0</v>
      </c>
      <c r="AB263" s="379">
        <v>1</v>
      </c>
      <c r="AC263" s="379">
        <v>1</v>
      </c>
      <c r="AD263" s="379">
        <v>1</v>
      </c>
      <c r="AE263" s="379">
        <v>1</v>
      </c>
      <c r="AF263" s="379"/>
      <c r="AG263" s="379">
        <v>1</v>
      </c>
      <c r="AH263" s="379">
        <v>1</v>
      </c>
      <c r="AI263" s="379">
        <v>1</v>
      </c>
      <c r="AJ263" s="379">
        <v>1</v>
      </c>
      <c r="AL263" s="366" t="s">
        <v>238</v>
      </c>
      <c r="AN263" s="375"/>
      <c r="AO263" s="375"/>
      <c r="AP263" s="375"/>
      <c r="AQ263" s="375"/>
    </row>
    <row r="264" spans="1:43" s="1" customFormat="1" ht="12.75" customHeight="1" x14ac:dyDescent="0.25">
      <c r="A264" s="369">
        <f t="shared" si="24"/>
        <v>6</v>
      </c>
      <c r="B264" s="402"/>
      <c r="C264" s="578" t="s">
        <v>417</v>
      </c>
      <c r="D264" s="578"/>
      <c r="E264" s="578"/>
      <c r="F264" s="578"/>
      <c r="G264" s="578"/>
      <c r="H264" s="578"/>
      <c r="I264" s="578"/>
      <c r="J264" s="578"/>
      <c r="K264" s="578"/>
      <c r="L264" s="579"/>
      <c r="M264" s="611" t="s">
        <v>238</v>
      </c>
      <c r="N264" s="611"/>
      <c r="O264" s="611"/>
      <c r="P264" s="611"/>
      <c r="Q264" s="575"/>
      <c r="R264" s="576"/>
      <c r="S264" s="576"/>
      <c r="T264" s="576"/>
      <c r="U264" s="576"/>
      <c r="V264" s="576"/>
      <c r="W264" s="576"/>
      <c r="X264" s="577"/>
      <c r="Y264" s="371"/>
      <c r="Z264" s="386">
        <f t="shared" si="23"/>
        <v>1</v>
      </c>
      <c r="AA264" s="380">
        <v>0</v>
      </c>
      <c r="AB264" s="379">
        <v>1</v>
      </c>
      <c r="AC264" s="379">
        <v>1</v>
      </c>
      <c r="AD264" s="379">
        <v>1</v>
      </c>
      <c r="AE264" s="379">
        <v>1</v>
      </c>
      <c r="AF264" s="379"/>
      <c r="AG264" s="379">
        <v>1</v>
      </c>
      <c r="AH264" s="379">
        <v>1</v>
      </c>
      <c r="AI264" s="379">
        <v>1</v>
      </c>
      <c r="AJ264" s="379">
        <v>1</v>
      </c>
      <c r="AL264" s="366" t="s">
        <v>185</v>
      </c>
      <c r="AN264" s="2"/>
      <c r="AO264" s="7"/>
      <c r="AP264" s="7"/>
      <c r="AQ264" s="7"/>
    </row>
    <row r="265" spans="1:43" s="1" customFormat="1" ht="12.75" customHeight="1" x14ac:dyDescent="0.25">
      <c r="A265" s="369">
        <f t="shared" si="24"/>
        <v>7</v>
      </c>
      <c r="B265" s="402"/>
      <c r="C265" s="612" t="s">
        <v>467</v>
      </c>
      <c r="D265" s="612"/>
      <c r="E265" s="612"/>
      <c r="F265" s="612"/>
      <c r="G265" s="612"/>
      <c r="H265" s="612"/>
      <c r="I265" s="612"/>
      <c r="J265" s="612"/>
      <c r="K265" s="612"/>
      <c r="L265" s="613"/>
      <c r="M265" s="611" t="s">
        <v>238</v>
      </c>
      <c r="N265" s="611"/>
      <c r="O265" s="611"/>
      <c r="P265" s="611"/>
      <c r="Q265" s="575"/>
      <c r="R265" s="576"/>
      <c r="S265" s="576"/>
      <c r="T265" s="576"/>
      <c r="U265" s="576"/>
      <c r="V265" s="576"/>
      <c r="W265" s="576"/>
      <c r="X265" s="577"/>
      <c r="Y265" s="371"/>
      <c r="Z265" s="386">
        <f t="shared" si="23"/>
        <v>1</v>
      </c>
      <c r="AA265" s="380">
        <v>0</v>
      </c>
      <c r="AB265" s="379">
        <v>1</v>
      </c>
      <c r="AC265" s="379">
        <v>1</v>
      </c>
      <c r="AD265" s="379">
        <v>1</v>
      </c>
      <c r="AE265" s="379">
        <v>1</v>
      </c>
      <c r="AF265" s="379"/>
      <c r="AG265" s="379">
        <v>1</v>
      </c>
      <c r="AH265" s="379">
        <v>1</v>
      </c>
      <c r="AI265" s="379">
        <v>1</v>
      </c>
      <c r="AJ265" s="379">
        <v>1</v>
      </c>
      <c r="AL265" s="366" t="s">
        <v>62</v>
      </c>
      <c r="AN265" s="2"/>
      <c r="AO265" s="7"/>
      <c r="AP265" s="7"/>
      <c r="AQ265" s="7"/>
    </row>
    <row r="266" spans="1:43" s="1" customFormat="1" ht="12.75" customHeight="1" x14ac:dyDescent="0.25">
      <c r="A266" s="369">
        <f t="shared" si="24"/>
        <v>8</v>
      </c>
      <c r="B266" s="402"/>
      <c r="C266" s="615" t="s">
        <v>294</v>
      </c>
      <c r="D266" s="615"/>
      <c r="E266" s="615"/>
      <c r="F266" s="615"/>
      <c r="G266" s="615"/>
      <c r="H266" s="615"/>
      <c r="I266" s="615"/>
      <c r="J266" s="615"/>
      <c r="K266" s="615"/>
      <c r="L266" s="613"/>
      <c r="M266" s="611" t="s">
        <v>238</v>
      </c>
      <c r="N266" s="611"/>
      <c r="O266" s="611"/>
      <c r="P266" s="611"/>
      <c r="Q266" s="949" t="s">
        <v>769</v>
      </c>
      <c r="R266" s="724"/>
      <c r="S266" s="724"/>
      <c r="T266" s="724"/>
      <c r="U266" s="724"/>
      <c r="V266" s="950"/>
      <c r="W266" s="638"/>
      <c r="X266" s="639"/>
      <c r="Y266" s="371"/>
      <c r="Z266" s="386">
        <f t="shared" si="23"/>
        <v>1</v>
      </c>
      <c r="AA266" s="380">
        <v>0</v>
      </c>
      <c r="AB266" s="379">
        <v>1</v>
      </c>
      <c r="AC266" s="379">
        <v>1</v>
      </c>
      <c r="AD266" s="379">
        <v>1</v>
      </c>
      <c r="AE266" s="379">
        <v>1</v>
      </c>
      <c r="AF266" s="379"/>
      <c r="AG266" s="379">
        <v>1</v>
      </c>
      <c r="AH266" s="379">
        <v>1</v>
      </c>
      <c r="AI266" s="379">
        <v>1</v>
      </c>
      <c r="AJ266" s="379">
        <v>1</v>
      </c>
      <c r="AL266" s="366" t="s">
        <v>296</v>
      </c>
      <c r="AN266" s="2"/>
      <c r="AO266" s="7"/>
      <c r="AP266" s="7"/>
      <c r="AQ266" s="7"/>
    </row>
    <row r="267" spans="1:43" s="1" customFormat="1" ht="12.75" customHeight="1" x14ac:dyDescent="0.25">
      <c r="A267" s="369">
        <f t="shared" si="24"/>
        <v>9</v>
      </c>
      <c r="B267" s="402"/>
      <c r="C267" s="615" t="s">
        <v>293</v>
      </c>
      <c r="D267" s="615"/>
      <c r="E267" s="615"/>
      <c r="F267" s="615"/>
      <c r="G267" s="615"/>
      <c r="H267" s="615"/>
      <c r="I267" s="615"/>
      <c r="J267" s="615"/>
      <c r="K267" s="615"/>
      <c r="L267" s="613"/>
      <c r="M267" s="611" t="s">
        <v>238</v>
      </c>
      <c r="N267" s="611"/>
      <c r="O267" s="611"/>
      <c r="P267" s="611"/>
      <c r="Q267" s="610"/>
      <c r="R267" s="610"/>
      <c r="S267" s="610"/>
      <c r="T267" s="610"/>
      <c r="U267" s="610"/>
      <c r="V267" s="610"/>
      <c r="W267" s="610"/>
      <c r="X267" s="610"/>
      <c r="Y267" s="371"/>
      <c r="Z267" s="386">
        <f t="shared" si="23"/>
        <v>1</v>
      </c>
      <c r="AA267" s="380">
        <v>0</v>
      </c>
      <c r="AB267" s="379">
        <v>1</v>
      </c>
      <c r="AC267" s="379">
        <v>1</v>
      </c>
      <c r="AD267" s="379">
        <v>1</v>
      </c>
      <c r="AE267" s="379">
        <v>1</v>
      </c>
      <c r="AF267" s="379"/>
      <c r="AG267" s="379">
        <v>1</v>
      </c>
      <c r="AH267" s="379">
        <v>1</v>
      </c>
      <c r="AI267" s="379">
        <v>1</v>
      </c>
      <c r="AJ267" s="379">
        <v>1</v>
      </c>
      <c r="AL267" s="366" t="s">
        <v>721</v>
      </c>
      <c r="AN267" s="2"/>
      <c r="AO267" s="7"/>
      <c r="AP267" s="7"/>
      <c r="AQ267" s="7"/>
    </row>
    <row r="268" spans="1:43" s="1" customFormat="1" ht="12.75" customHeight="1" x14ac:dyDescent="0.25">
      <c r="A268" s="369">
        <f t="shared" si="24"/>
        <v>10</v>
      </c>
      <c r="B268" s="402"/>
      <c r="C268" s="615" t="s">
        <v>815</v>
      </c>
      <c r="D268" s="615"/>
      <c r="E268" s="615"/>
      <c r="F268" s="615"/>
      <c r="G268" s="615"/>
      <c r="H268" s="615"/>
      <c r="I268" s="615"/>
      <c r="J268" s="615"/>
      <c r="K268" s="615"/>
      <c r="L268" s="613"/>
      <c r="M268" s="360" t="s">
        <v>238</v>
      </c>
      <c r="N268" s="607" t="s">
        <v>46</v>
      </c>
      <c r="O268" s="608"/>
      <c r="P268" s="360" t="s">
        <v>238</v>
      </c>
      <c r="Q268" s="607" t="s">
        <v>188</v>
      </c>
      <c r="R268" s="609"/>
      <c r="S268" s="596" t="s">
        <v>238</v>
      </c>
      <c r="T268" s="597"/>
      <c r="U268" s="575"/>
      <c r="V268" s="576"/>
      <c r="W268" s="576"/>
      <c r="X268" s="577"/>
      <c r="Y268" s="371"/>
      <c r="Z268" s="386">
        <f t="shared" si="23"/>
        <v>1</v>
      </c>
      <c r="AA268" s="380">
        <v>0</v>
      </c>
      <c r="AB268" s="379">
        <v>1</v>
      </c>
      <c r="AC268" s="379">
        <v>1</v>
      </c>
      <c r="AD268" s="379">
        <v>1</v>
      </c>
      <c r="AE268" s="379">
        <v>1</v>
      </c>
      <c r="AF268" s="379"/>
      <c r="AG268" s="379">
        <v>1</v>
      </c>
      <c r="AH268" s="379">
        <v>1</v>
      </c>
      <c r="AI268" s="379">
        <v>1</v>
      </c>
      <c r="AJ268" s="379">
        <v>1</v>
      </c>
      <c r="AL268" s="366" t="s">
        <v>238</v>
      </c>
      <c r="AN268" s="2"/>
      <c r="AO268" s="7"/>
      <c r="AP268" s="7"/>
      <c r="AQ268" s="7"/>
    </row>
    <row r="269" spans="1:43" s="14" customFormat="1" ht="12.75" customHeight="1" x14ac:dyDescent="0.25">
      <c r="A269" s="369">
        <f t="shared" si="24"/>
        <v>11</v>
      </c>
      <c r="B269" s="401"/>
      <c r="C269" s="615" t="s">
        <v>490</v>
      </c>
      <c r="D269" s="615"/>
      <c r="E269" s="615"/>
      <c r="F269" s="615"/>
      <c r="G269" s="615"/>
      <c r="H269" s="615"/>
      <c r="I269" s="615"/>
      <c r="J269" s="615"/>
      <c r="K269" s="615"/>
      <c r="L269" s="615"/>
      <c r="M269" s="648" t="s">
        <v>368</v>
      </c>
      <c r="N269" s="648"/>
      <c r="O269" s="648"/>
      <c r="P269" s="649"/>
      <c r="Q269" s="641"/>
      <c r="R269" s="642"/>
      <c r="S269" s="581" t="s">
        <v>530</v>
      </c>
      <c r="T269" s="582"/>
      <c r="U269" s="582"/>
      <c r="V269" s="583"/>
      <c r="W269" s="696"/>
      <c r="X269" s="697"/>
      <c r="Y269" s="370"/>
      <c r="Z269" s="386">
        <f t="shared" si="23"/>
        <v>1</v>
      </c>
      <c r="AA269" s="380">
        <v>0</v>
      </c>
      <c r="AB269" s="379">
        <v>1</v>
      </c>
      <c r="AC269" s="379">
        <v>1</v>
      </c>
      <c r="AD269" s="379">
        <v>1</v>
      </c>
      <c r="AE269" s="379">
        <v>1</v>
      </c>
      <c r="AF269" s="379"/>
      <c r="AG269" s="379">
        <v>1</v>
      </c>
      <c r="AH269" s="379">
        <v>1</v>
      </c>
      <c r="AI269" s="379">
        <v>1</v>
      </c>
      <c r="AJ269" s="379">
        <v>1</v>
      </c>
      <c r="AL269" s="366" t="s">
        <v>121</v>
      </c>
      <c r="AN269" s="375"/>
      <c r="AO269" s="375"/>
      <c r="AP269" s="375"/>
      <c r="AQ269" s="375"/>
    </row>
    <row r="270" spans="1:43" s="1" customFormat="1" ht="12.75" customHeight="1" x14ac:dyDescent="0.25">
      <c r="A270" s="369">
        <f t="shared" si="24"/>
        <v>12</v>
      </c>
      <c r="B270" s="402"/>
      <c r="C270" s="615" t="s">
        <v>369</v>
      </c>
      <c r="D270" s="615"/>
      <c r="E270" s="615"/>
      <c r="F270" s="615"/>
      <c r="G270" s="615"/>
      <c r="H270" s="615"/>
      <c r="I270" s="615"/>
      <c r="J270" s="615"/>
      <c r="K270" s="615"/>
      <c r="L270" s="615"/>
      <c r="M270" s="648" t="s">
        <v>370</v>
      </c>
      <c r="N270" s="648"/>
      <c r="O270" s="648"/>
      <c r="P270" s="649"/>
      <c r="Q270" s="641"/>
      <c r="R270" s="642"/>
      <c r="S270" s="581" t="s">
        <v>78</v>
      </c>
      <c r="T270" s="582"/>
      <c r="U270" s="582"/>
      <c r="V270" s="583"/>
      <c r="W270" s="605"/>
      <c r="X270" s="606"/>
      <c r="Y270" s="371"/>
      <c r="Z270" s="386">
        <f t="shared" si="23"/>
        <v>1</v>
      </c>
      <c r="AA270" s="380">
        <v>0</v>
      </c>
      <c r="AB270" s="379">
        <v>1</v>
      </c>
      <c r="AC270" s="379">
        <v>1</v>
      </c>
      <c r="AD270" s="379">
        <v>1</v>
      </c>
      <c r="AE270" s="379">
        <v>1</v>
      </c>
      <c r="AF270" s="379"/>
      <c r="AG270" s="379">
        <v>1</v>
      </c>
      <c r="AH270" s="379">
        <v>1</v>
      </c>
      <c r="AI270" s="379">
        <v>1</v>
      </c>
      <c r="AJ270" s="379">
        <v>1</v>
      </c>
      <c r="AL270" s="366" t="s">
        <v>122</v>
      </c>
      <c r="AN270" s="7"/>
      <c r="AO270" s="7"/>
      <c r="AP270" s="7"/>
      <c r="AQ270" s="7"/>
    </row>
    <row r="271" spans="1:43" s="1" customFormat="1" ht="12.75" customHeight="1" x14ac:dyDescent="0.25">
      <c r="A271" s="369">
        <f t="shared" si="24"/>
        <v>13</v>
      </c>
      <c r="B271" s="402"/>
      <c r="C271" s="615" t="s">
        <v>287</v>
      </c>
      <c r="D271" s="615"/>
      <c r="E271" s="615"/>
      <c r="F271" s="615"/>
      <c r="G271" s="615"/>
      <c r="H271" s="615"/>
      <c r="I271" s="615"/>
      <c r="J271" s="615"/>
      <c r="K271" s="615"/>
      <c r="L271" s="613"/>
      <c r="M271" s="360" t="s">
        <v>238</v>
      </c>
      <c r="N271" s="581" t="s">
        <v>469</v>
      </c>
      <c r="O271" s="582"/>
      <c r="P271" s="580"/>
      <c r="Q271" s="580"/>
      <c r="R271" s="580"/>
      <c r="S271" s="580"/>
      <c r="T271" s="580"/>
      <c r="U271" s="580"/>
      <c r="V271" s="580"/>
      <c r="W271" s="580"/>
      <c r="X271" s="580"/>
      <c r="Y271" s="371"/>
      <c r="Z271" s="386">
        <f t="shared" si="23"/>
        <v>1</v>
      </c>
      <c r="AA271" s="380">
        <v>0</v>
      </c>
      <c r="AB271" s="379">
        <v>1</v>
      </c>
      <c r="AC271" s="379">
        <v>1</v>
      </c>
      <c r="AD271" s="379">
        <v>1</v>
      </c>
      <c r="AE271" s="379">
        <v>1</v>
      </c>
      <c r="AF271" s="379"/>
      <c r="AG271" s="379">
        <v>1</v>
      </c>
      <c r="AH271" s="379">
        <v>1</v>
      </c>
      <c r="AI271" s="379">
        <v>1</v>
      </c>
      <c r="AJ271" s="379">
        <v>1</v>
      </c>
      <c r="AL271" s="366" t="s">
        <v>721</v>
      </c>
      <c r="AN271" s="7"/>
      <c r="AO271" s="7"/>
      <c r="AP271" s="7"/>
      <c r="AQ271" s="7"/>
    </row>
    <row r="272" spans="1:43" s="14" customFormat="1" ht="12.75" customHeight="1" x14ac:dyDescent="0.25">
      <c r="A272" s="369">
        <f t="shared" si="24"/>
        <v>14</v>
      </c>
      <c r="B272" s="402"/>
      <c r="C272" s="615" t="s">
        <v>366</v>
      </c>
      <c r="D272" s="615"/>
      <c r="E272" s="615"/>
      <c r="F272" s="615"/>
      <c r="G272" s="615"/>
      <c r="H272" s="615"/>
      <c r="I272" s="615"/>
      <c r="J272" s="615"/>
      <c r="K272" s="615"/>
      <c r="L272" s="615"/>
      <c r="M272" s="698" t="s">
        <v>504</v>
      </c>
      <c r="N272" s="588"/>
      <c r="O272" s="605"/>
      <c r="P272" s="606"/>
      <c r="Q272" s="587" t="s">
        <v>505</v>
      </c>
      <c r="R272" s="588"/>
      <c r="S272" s="696"/>
      <c r="T272" s="697"/>
      <c r="U272" s="587" t="s">
        <v>506</v>
      </c>
      <c r="V272" s="588"/>
      <c r="W272" s="605"/>
      <c r="X272" s="606"/>
      <c r="Y272" s="370"/>
      <c r="Z272" s="386">
        <f t="shared" si="23"/>
        <v>1</v>
      </c>
      <c r="AA272" s="380">
        <v>0</v>
      </c>
      <c r="AB272" s="379">
        <v>1</v>
      </c>
      <c r="AC272" s="379">
        <v>1</v>
      </c>
      <c r="AD272" s="379">
        <v>1</v>
      </c>
      <c r="AE272" s="379">
        <v>1</v>
      </c>
      <c r="AF272" s="379"/>
      <c r="AG272" s="379">
        <v>1</v>
      </c>
      <c r="AH272" s="379">
        <v>1</v>
      </c>
      <c r="AI272" s="379">
        <v>1</v>
      </c>
      <c r="AJ272" s="379">
        <v>1</v>
      </c>
      <c r="AL272" s="366" t="s">
        <v>238</v>
      </c>
      <c r="AN272" s="375"/>
      <c r="AO272" s="375"/>
      <c r="AP272" s="375"/>
      <c r="AQ272" s="375"/>
    </row>
    <row r="273" spans="1:43" s="14" customFormat="1" ht="12.75" customHeight="1" x14ac:dyDescent="0.25">
      <c r="AN273" s="375"/>
      <c r="AO273" s="375"/>
      <c r="AP273" s="375"/>
      <c r="AQ273" s="375"/>
    </row>
    <row r="274" spans="1:43" s="14" customFormat="1" ht="12.75" customHeight="1" x14ac:dyDescent="0.25">
      <c r="AN274" s="375"/>
      <c r="AO274" s="375"/>
      <c r="AP274" s="375"/>
      <c r="AQ274" s="375"/>
    </row>
    <row r="275" spans="1:43" s="1" customFormat="1" ht="12.75" customHeight="1" x14ac:dyDescent="0.25">
      <c r="A275" s="369">
        <f>A272+1</f>
        <v>15</v>
      </c>
      <c r="B275" s="402"/>
      <c r="C275" s="615" t="s">
        <v>297</v>
      </c>
      <c r="D275" s="615"/>
      <c r="E275" s="615"/>
      <c r="F275" s="615"/>
      <c r="G275" s="615"/>
      <c r="H275" s="615"/>
      <c r="I275" s="615"/>
      <c r="J275" s="615"/>
      <c r="K275" s="615"/>
      <c r="L275" s="613"/>
      <c r="M275" s="611" t="s">
        <v>238</v>
      </c>
      <c r="N275" s="611"/>
      <c r="O275" s="611"/>
      <c r="P275" s="611"/>
      <c r="Q275" s="580"/>
      <c r="R275" s="580"/>
      <c r="S275" s="580"/>
      <c r="T275" s="580"/>
      <c r="U275" s="580"/>
      <c r="V275" s="580"/>
      <c r="W275" s="580"/>
      <c r="X275" s="580"/>
      <c r="Y275" s="371"/>
      <c r="Z275" s="386">
        <f t="shared" si="23"/>
        <v>1</v>
      </c>
      <c r="AA275" s="380">
        <v>0</v>
      </c>
      <c r="AB275" s="379">
        <v>1</v>
      </c>
      <c r="AC275" s="379">
        <v>1</v>
      </c>
      <c r="AD275" s="379">
        <v>1</v>
      </c>
      <c r="AE275" s="379">
        <v>1</v>
      </c>
      <c r="AF275" s="379"/>
      <c r="AG275" s="379">
        <v>1</v>
      </c>
      <c r="AH275" s="379">
        <v>1</v>
      </c>
      <c r="AI275" s="379">
        <v>1</v>
      </c>
      <c r="AJ275" s="379">
        <v>1</v>
      </c>
      <c r="AL275" s="366" t="s">
        <v>759</v>
      </c>
      <c r="AN275" s="2"/>
      <c r="AO275" s="2"/>
      <c r="AP275" s="2"/>
      <c r="AQ275" s="7"/>
    </row>
    <row r="276" spans="1:43" s="1" customFormat="1" ht="12.75" customHeight="1" x14ac:dyDescent="0.25">
      <c r="A276" s="369">
        <f t="shared" si="24"/>
        <v>16</v>
      </c>
      <c r="B276" s="402"/>
      <c r="C276" s="615" t="s">
        <v>189</v>
      </c>
      <c r="D276" s="615"/>
      <c r="E276" s="615"/>
      <c r="F276" s="615"/>
      <c r="G276" s="615"/>
      <c r="H276" s="615"/>
      <c r="I276" s="615"/>
      <c r="J276" s="615"/>
      <c r="K276" s="615"/>
      <c r="L276" s="613"/>
      <c r="M276" s="360" t="s">
        <v>238</v>
      </c>
      <c r="N276" s="631" t="s">
        <v>190</v>
      </c>
      <c r="O276" s="615"/>
      <c r="P276" s="613"/>
      <c r="Q276" s="360" t="s">
        <v>238</v>
      </c>
      <c r="R276" s="631" t="s">
        <v>69</v>
      </c>
      <c r="S276" s="615"/>
      <c r="T276" s="613"/>
      <c r="U276" s="360" t="s">
        <v>238</v>
      </c>
      <c r="V276" s="607" t="s">
        <v>49</v>
      </c>
      <c r="W276" s="609"/>
      <c r="X276" s="609"/>
      <c r="Y276" s="371"/>
      <c r="Z276" s="386">
        <f t="shared" si="23"/>
        <v>1</v>
      </c>
      <c r="AA276" s="380">
        <v>0</v>
      </c>
      <c r="AB276" s="379">
        <v>0</v>
      </c>
      <c r="AC276" s="379">
        <v>1</v>
      </c>
      <c r="AD276" s="379">
        <v>1</v>
      </c>
      <c r="AE276" s="379">
        <v>1</v>
      </c>
      <c r="AF276" s="379"/>
      <c r="AG276" s="379">
        <v>0</v>
      </c>
      <c r="AH276" s="379">
        <v>1</v>
      </c>
      <c r="AI276" s="379">
        <v>1</v>
      </c>
      <c r="AJ276" s="379">
        <v>1</v>
      </c>
      <c r="AL276" s="366" t="s">
        <v>186</v>
      </c>
      <c r="AN276" s="7"/>
      <c r="AO276" s="7"/>
      <c r="AP276" s="7"/>
      <c r="AQ276" s="7"/>
    </row>
    <row r="277" spans="1:43" s="1" customFormat="1" ht="12.75" customHeight="1" x14ac:dyDescent="0.25">
      <c r="A277" s="369">
        <f t="shared" si="24"/>
        <v>17</v>
      </c>
      <c r="B277" s="402"/>
      <c r="C277" s="615" t="s">
        <v>491</v>
      </c>
      <c r="D277" s="615"/>
      <c r="E277" s="615"/>
      <c r="F277" s="615"/>
      <c r="G277" s="615"/>
      <c r="H277" s="615"/>
      <c r="I277" s="615"/>
      <c r="J277" s="615"/>
      <c r="K277" s="615"/>
      <c r="L277" s="613"/>
      <c r="M277" s="360" t="s">
        <v>238</v>
      </c>
      <c r="N277" s="581" t="s">
        <v>469</v>
      </c>
      <c r="O277" s="582"/>
      <c r="P277" s="575"/>
      <c r="Q277" s="576"/>
      <c r="R277" s="576"/>
      <c r="S277" s="576"/>
      <c r="T277" s="576"/>
      <c r="U277" s="576"/>
      <c r="V277" s="576"/>
      <c r="W277" s="576"/>
      <c r="X277" s="577"/>
      <c r="Y277" s="371"/>
      <c r="Z277" s="386">
        <f t="shared" si="23"/>
        <v>1</v>
      </c>
      <c r="AA277" s="380">
        <v>0</v>
      </c>
      <c r="AB277" s="379">
        <v>0</v>
      </c>
      <c r="AC277" s="379">
        <v>1</v>
      </c>
      <c r="AD277" s="379">
        <v>1</v>
      </c>
      <c r="AE277" s="379">
        <v>1</v>
      </c>
      <c r="AF277" s="379"/>
      <c r="AG277" s="379">
        <v>0</v>
      </c>
      <c r="AH277" s="379">
        <v>1</v>
      </c>
      <c r="AI277" s="379">
        <v>1</v>
      </c>
      <c r="AJ277" s="379">
        <v>1</v>
      </c>
      <c r="AL277" s="366" t="s">
        <v>763</v>
      </c>
    </row>
    <row r="278" spans="1:43" s="1" customFormat="1" ht="12.75" customHeight="1" x14ac:dyDescent="0.25">
      <c r="A278" s="369">
        <f t="shared" si="24"/>
        <v>18</v>
      </c>
      <c r="B278" s="402"/>
      <c r="C278" s="615" t="s">
        <v>286</v>
      </c>
      <c r="D278" s="615"/>
      <c r="E278" s="615"/>
      <c r="F278" s="615"/>
      <c r="G278" s="615"/>
      <c r="H278" s="615"/>
      <c r="I278" s="615"/>
      <c r="J278" s="615"/>
      <c r="K278" s="615"/>
      <c r="L278" s="613"/>
      <c r="M278" s="360" t="s">
        <v>238</v>
      </c>
      <c r="N278" s="581" t="s">
        <v>469</v>
      </c>
      <c r="O278" s="582"/>
      <c r="P278" s="575"/>
      <c r="Q278" s="576"/>
      <c r="R278" s="576"/>
      <c r="S278" s="576"/>
      <c r="T278" s="576"/>
      <c r="U278" s="576"/>
      <c r="V278" s="576"/>
      <c r="W278" s="576"/>
      <c r="X278" s="577"/>
      <c r="Y278" s="371"/>
      <c r="Z278" s="386">
        <f t="shared" si="23"/>
        <v>1</v>
      </c>
      <c r="AA278" s="380">
        <v>0</v>
      </c>
      <c r="AB278" s="379">
        <v>0</v>
      </c>
      <c r="AC278" s="379">
        <v>1</v>
      </c>
      <c r="AD278" s="379">
        <v>1</v>
      </c>
      <c r="AE278" s="379">
        <v>1</v>
      </c>
      <c r="AF278" s="379"/>
      <c r="AG278" s="379">
        <v>0</v>
      </c>
      <c r="AH278" s="379">
        <v>1</v>
      </c>
      <c r="AI278" s="379">
        <v>1</v>
      </c>
      <c r="AJ278" s="379">
        <v>1</v>
      </c>
      <c r="AL278" s="366" t="s">
        <v>721</v>
      </c>
    </row>
    <row r="279" spans="1:43" s="1" customFormat="1" ht="12.75" customHeight="1" x14ac:dyDescent="0.25">
      <c r="A279" s="369">
        <f t="shared" si="24"/>
        <v>19</v>
      </c>
      <c r="B279" s="402"/>
      <c r="C279" s="615" t="s">
        <v>285</v>
      </c>
      <c r="D279" s="615"/>
      <c r="E279" s="615"/>
      <c r="F279" s="615"/>
      <c r="G279" s="615"/>
      <c r="H279" s="615"/>
      <c r="I279" s="615"/>
      <c r="J279" s="615"/>
      <c r="K279" s="615"/>
      <c r="L279" s="613"/>
      <c r="M279" s="360" t="s">
        <v>238</v>
      </c>
      <c r="N279" s="581" t="s">
        <v>469</v>
      </c>
      <c r="O279" s="582"/>
      <c r="P279" s="575"/>
      <c r="Q279" s="576"/>
      <c r="R279" s="576"/>
      <c r="S279" s="576"/>
      <c r="T279" s="576"/>
      <c r="U279" s="576"/>
      <c r="V279" s="576"/>
      <c r="W279" s="576"/>
      <c r="X279" s="577"/>
      <c r="Y279" s="371"/>
      <c r="Z279" s="386">
        <f t="shared" si="23"/>
        <v>1</v>
      </c>
      <c r="AA279" s="380">
        <v>0</v>
      </c>
      <c r="AB279" s="379">
        <v>1</v>
      </c>
      <c r="AC279" s="379">
        <v>1</v>
      </c>
      <c r="AD279" s="379">
        <v>1</v>
      </c>
      <c r="AE279" s="379">
        <v>1</v>
      </c>
      <c r="AF279" s="379"/>
      <c r="AG279" s="379">
        <v>1</v>
      </c>
      <c r="AH279" s="379">
        <v>1</v>
      </c>
      <c r="AI279" s="379">
        <v>1</v>
      </c>
      <c r="AJ279" s="379">
        <v>1</v>
      </c>
      <c r="AL279" s="366" t="s">
        <v>238</v>
      </c>
    </row>
    <row r="280" spans="1:43" s="1" customFormat="1" ht="12.75" customHeight="1" x14ac:dyDescent="0.25">
      <c r="A280" s="369"/>
      <c r="B280" s="371"/>
      <c r="C280" s="15"/>
      <c r="D280" s="15"/>
      <c r="E280" s="15"/>
      <c r="F280" s="15"/>
      <c r="G280" s="15"/>
      <c r="H280" s="15"/>
      <c r="I280" s="15"/>
      <c r="J280" s="15"/>
      <c r="K280" s="15"/>
      <c r="L280" s="15"/>
      <c r="M280" s="15"/>
      <c r="N280" s="15"/>
      <c r="O280" s="15"/>
      <c r="P280" s="15"/>
      <c r="Q280" s="15"/>
      <c r="R280" s="15"/>
      <c r="S280" s="15"/>
      <c r="T280" s="15"/>
      <c r="U280" s="15"/>
      <c r="V280" s="15"/>
      <c r="W280" s="15"/>
      <c r="X280" s="15"/>
      <c r="Y280" s="371"/>
      <c r="Z280" s="386" t="s">
        <v>2</v>
      </c>
      <c r="AA280" s="379" t="s">
        <v>2</v>
      </c>
      <c r="AB280" s="379" t="s">
        <v>2</v>
      </c>
      <c r="AC280" s="379" t="s">
        <v>2</v>
      </c>
      <c r="AD280" s="379" t="s">
        <v>2</v>
      </c>
      <c r="AE280" s="379" t="s">
        <v>2</v>
      </c>
      <c r="AF280" s="379"/>
      <c r="AG280" s="379" t="s">
        <v>2</v>
      </c>
      <c r="AH280" s="379" t="s">
        <v>2</v>
      </c>
      <c r="AI280" s="379" t="s">
        <v>2</v>
      </c>
      <c r="AJ280" s="379" t="s">
        <v>2</v>
      </c>
      <c r="AL280" s="366" t="s">
        <v>768</v>
      </c>
    </row>
    <row r="281" spans="1:43" s="543" customFormat="1" ht="12.75" customHeight="1" x14ac:dyDescent="0.25">
      <c r="A281" s="540"/>
      <c r="B281" s="541" t="s">
        <v>707</v>
      </c>
      <c r="C281" s="637" t="s">
        <v>44</v>
      </c>
      <c r="D281" s="637"/>
      <c r="E281" s="637"/>
      <c r="F281" s="637"/>
      <c r="G281" s="637"/>
      <c r="H281" s="637"/>
      <c r="I281" s="637"/>
      <c r="J281" s="637"/>
      <c r="K281" s="637"/>
      <c r="L281" s="637"/>
      <c r="V281" s="654"/>
      <c r="W281" s="654"/>
      <c r="X281" s="654"/>
      <c r="Y281" s="545"/>
      <c r="Z281" s="546" t="s">
        <v>2</v>
      </c>
      <c r="AA281" s="548" t="s">
        <v>2</v>
      </c>
      <c r="AB281" s="548" t="s">
        <v>2</v>
      </c>
      <c r="AC281" s="548" t="s">
        <v>2</v>
      </c>
      <c r="AD281" s="548" t="s">
        <v>2</v>
      </c>
      <c r="AE281" s="548" t="s">
        <v>2</v>
      </c>
      <c r="AF281" s="548"/>
      <c r="AG281" s="548" t="s">
        <v>2</v>
      </c>
      <c r="AH281" s="548" t="s">
        <v>2</v>
      </c>
      <c r="AI281" s="548" t="s">
        <v>2</v>
      </c>
      <c r="AJ281" s="548" t="s">
        <v>2</v>
      </c>
      <c r="AL281" s="550" t="s">
        <v>767</v>
      </c>
      <c r="AM281" s="549"/>
    </row>
    <row r="282" spans="1:43" s="46" customFormat="1" ht="12.75" customHeight="1" x14ac:dyDescent="0.25">
      <c r="A282" s="48"/>
      <c r="B282" s="347"/>
      <c r="C282" s="364"/>
      <c r="D282" s="364"/>
      <c r="E282" s="364"/>
      <c r="F282" s="364"/>
      <c r="G282" s="364"/>
      <c r="H282" s="364"/>
      <c r="I282" s="364"/>
      <c r="J282" s="364"/>
      <c r="K282" s="364"/>
      <c r="L282" s="364"/>
      <c r="M282" s="695" t="s">
        <v>125</v>
      </c>
      <c r="N282" s="695"/>
      <c r="O282" s="695"/>
      <c r="P282" s="50"/>
      <c r="Q282" s="50"/>
      <c r="R282" s="695" t="s">
        <v>164</v>
      </c>
      <c r="S282" s="695"/>
      <c r="T282" s="695"/>
      <c r="U282" s="50"/>
      <c r="V282" s="367"/>
      <c r="W282" s="367"/>
      <c r="X282" s="367"/>
      <c r="Y282" s="45"/>
      <c r="Z282" s="386" t="s">
        <v>2</v>
      </c>
      <c r="AA282" s="379" t="s">
        <v>2</v>
      </c>
      <c r="AB282" s="379" t="s">
        <v>2</v>
      </c>
      <c r="AC282" s="379" t="s">
        <v>2</v>
      </c>
      <c r="AD282" s="379" t="s">
        <v>2</v>
      </c>
      <c r="AE282" s="379" t="s">
        <v>2</v>
      </c>
      <c r="AF282" s="379"/>
      <c r="AG282" s="379" t="s">
        <v>2</v>
      </c>
      <c r="AH282" s="379" t="s">
        <v>2</v>
      </c>
      <c r="AI282" s="379" t="s">
        <v>2</v>
      </c>
      <c r="AJ282" s="379" t="s">
        <v>2</v>
      </c>
      <c r="AL282" s="366" t="s">
        <v>721</v>
      </c>
      <c r="AM282" s="1"/>
    </row>
    <row r="283" spans="1:43" s="1" customFormat="1" ht="12.75" customHeight="1" x14ac:dyDescent="0.25">
      <c r="A283" s="369">
        <v>1</v>
      </c>
      <c r="B283" s="402"/>
      <c r="C283" s="612" t="s">
        <v>171</v>
      </c>
      <c r="D283" s="612"/>
      <c r="E283" s="612"/>
      <c r="F283" s="612"/>
      <c r="G283" s="612"/>
      <c r="H283" s="612"/>
      <c r="I283" s="612"/>
      <c r="J283" s="612"/>
      <c r="K283" s="612"/>
      <c r="L283" s="613"/>
      <c r="M283" s="655"/>
      <c r="N283" s="656"/>
      <c r="O283" s="361"/>
      <c r="P283" s="9"/>
      <c r="Q283" s="2"/>
      <c r="R283" s="657"/>
      <c r="S283" s="658"/>
      <c r="T283" s="8"/>
      <c r="U283" s="2"/>
      <c r="X283" s="9"/>
      <c r="Y283" s="371"/>
      <c r="Z283" s="386">
        <f t="shared" ref="Z283:Z299" si="25">IF(Z$3=0,0,IF(Z$3=1,AA283,IF(Z$3=2,AB283,IF(Z$3=3,AC283,IF(Z$3=4,AD283,IF(Z$3=5,AE283,IF(Z$3=6,AG283,IF(Z$3=7,AH283,IF(Z$3=8,AI283,IF(Z$3=9,AJ283,0))))))))))</f>
        <v>1</v>
      </c>
      <c r="AA283" s="380">
        <v>0</v>
      </c>
      <c r="AB283" s="380">
        <v>0</v>
      </c>
      <c r="AC283" s="379">
        <v>1</v>
      </c>
      <c r="AD283" s="379">
        <v>1</v>
      </c>
      <c r="AE283" s="379">
        <v>1</v>
      </c>
      <c r="AF283" s="379"/>
      <c r="AG283" s="380">
        <v>0</v>
      </c>
      <c r="AH283" s="380">
        <v>0</v>
      </c>
      <c r="AI283" s="380">
        <v>0</v>
      </c>
      <c r="AJ283" s="380">
        <v>0</v>
      </c>
      <c r="AL283" s="366" t="s">
        <v>238</v>
      </c>
    </row>
    <row r="284" spans="1:43" s="1" customFormat="1" ht="12.75" customHeight="1" x14ac:dyDescent="0.25">
      <c r="A284" s="369">
        <f t="shared" ref="A284:A299" si="26">A283+1</f>
        <v>2</v>
      </c>
      <c r="B284" s="402"/>
      <c r="C284" s="612" t="s">
        <v>172</v>
      </c>
      <c r="D284" s="612"/>
      <c r="E284" s="612"/>
      <c r="F284" s="612"/>
      <c r="G284" s="612"/>
      <c r="H284" s="612"/>
      <c r="I284" s="612"/>
      <c r="J284" s="612"/>
      <c r="K284" s="612"/>
      <c r="L284" s="613"/>
      <c r="M284" s="655"/>
      <c r="N284" s="656"/>
      <c r="O284" s="362"/>
      <c r="P284" s="9"/>
      <c r="Q284" s="2"/>
      <c r="R284" s="657"/>
      <c r="S284" s="658"/>
      <c r="T284" s="2"/>
      <c r="U284" s="2"/>
      <c r="X284" s="9"/>
      <c r="Y284" s="371"/>
      <c r="Z284" s="386">
        <f t="shared" si="25"/>
        <v>1</v>
      </c>
      <c r="AA284" s="380">
        <v>0</v>
      </c>
      <c r="AB284" s="380">
        <v>0</v>
      </c>
      <c r="AC284" s="379">
        <v>1</v>
      </c>
      <c r="AD284" s="379">
        <v>1</v>
      </c>
      <c r="AE284" s="379">
        <v>1</v>
      </c>
      <c r="AF284" s="379"/>
      <c r="AG284" s="380">
        <v>0</v>
      </c>
      <c r="AH284" s="380">
        <v>0</v>
      </c>
      <c r="AI284" s="380">
        <v>0</v>
      </c>
      <c r="AJ284" s="380">
        <v>0</v>
      </c>
      <c r="AL284" s="366" t="s">
        <v>775</v>
      </c>
    </row>
    <row r="285" spans="1:43" s="1" customFormat="1" ht="12.75" customHeight="1" x14ac:dyDescent="0.25">
      <c r="A285" s="369">
        <f t="shared" si="26"/>
        <v>3</v>
      </c>
      <c r="B285" s="402"/>
      <c r="C285" s="612" t="s">
        <v>116</v>
      </c>
      <c r="D285" s="612"/>
      <c r="E285" s="612"/>
      <c r="F285" s="612"/>
      <c r="G285" s="612"/>
      <c r="H285" s="612"/>
      <c r="I285" s="612"/>
      <c r="J285" s="612"/>
      <c r="K285" s="612"/>
      <c r="L285" s="613"/>
      <c r="M285" s="689" t="str">
        <f>M122</f>
        <v>-</v>
      </c>
      <c r="N285" s="690"/>
      <c r="O285" s="690"/>
      <c r="P285" s="691"/>
      <c r="Q285" s="2"/>
      <c r="R285" s="692" t="str">
        <f>M123</f>
        <v>-</v>
      </c>
      <c r="S285" s="693"/>
      <c r="T285" s="693"/>
      <c r="U285" s="694"/>
      <c r="X285" s="9"/>
      <c r="Y285" s="371"/>
      <c r="Z285" s="386">
        <f t="shared" si="25"/>
        <v>1</v>
      </c>
      <c r="AA285" s="380">
        <v>0</v>
      </c>
      <c r="AB285" s="380">
        <v>0</v>
      </c>
      <c r="AC285" s="379">
        <v>1</v>
      </c>
      <c r="AD285" s="379">
        <v>1</v>
      </c>
      <c r="AE285" s="379">
        <v>1</v>
      </c>
      <c r="AF285" s="379"/>
      <c r="AG285" s="380">
        <v>0</v>
      </c>
      <c r="AH285" s="380">
        <v>0</v>
      </c>
      <c r="AI285" s="380">
        <v>0</v>
      </c>
      <c r="AJ285" s="380">
        <v>0</v>
      </c>
      <c r="AL285" s="366" t="s">
        <v>152</v>
      </c>
    </row>
    <row r="286" spans="1:43" s="1" customFormat="1" ht="12.75" customHeight="1" x14ac:dyDescent="0.25">
      <c r="A286" s="369">
        <f t="shared" si="26"/>
        <v>4</v>
      </c>
      <c r="B286" s="402"/>
      <c r="C286" s="612" t="s">
        <v>174</v>
      </c>
      <c r="D286" s="612"/>
      <c r="E286" s="612"/>
      <c r="F286" s="612"/>
      <c r="G286" s="612"/>
      <c r="H286" s="612"/>
      <c r="I286" s="612"/>
      <c r="J286" s="612"/>
      <c r="K286" s="612"/>
      <c r="L286" s="613"/>
      <c r="M286" s="687"/>
      <c r="N286" s="688"/>
      <c r="O286" s="362"/>
      <c r="P286" s="9"/>
      <c r="Q286" s="2"/>
      <c r="R286" s="687"/>
      <c r="S286" s="688"/>
      <c r="T286" s="2"/>
      <c r="U286" s="2"/>
      <c r="X286" s="9"/>
      <c r="Y286" s="371"/>
      <c r="Z286" s="386">
        <f t="shared" si="25"/>
        <v>1</v>
      </c>
      <c r="AA286" s="380">
        <v>0</v>
      </c>
      <c r="AB286" s="380">
        <v>0</v>
      </c>
      <c r="AC286" s="379">
        <v>1</v>
      </c>
      <c r="AD286" s="379">
        <v>1</v>
      </c>
      <c r="AE286" s="379">
        <v>1</v>
      </c>
      <c r="AF286" s="379"/>
      <c r="AG286" s="380">
        <v>0</v>
      </c>
      <c r="AH286" s="380">
        <v>0</v>
      </c>
      <c r="AI286" s="380">
        <v>0</v>
      </c>
      <c r="AJ286" s="380">
        <v>0</v>
      </c>
      <c r="AL286" s="366" t="s">
        <v>721</v>
      </c>
    </row>
    <row r="287" spans="1:43" s="1" customFormat="1" ht="12.75" customHeight="1" x14ac:dyDescent="0.25">
      <c r="A287" s="369">
        <f t="shared" si="26"/>
        <v>5</v>
      </c>
      <c r="B287" s="410" t="s">
        <v>818</v>
      </c>
      <c r="C287" s="612" t="s">
        <v>175</v>
      </c>
      <c r="D287" s="612"/>
      <c r="E287" s="612"/>
      <c r="F287" s="612"/>
      <c r="G287" s="612"/>
      <c r="H287" s="612"/>
      <c r="I287" s="612"/>
      <c r="J287" s="612"/>
      <c r="K287" s="612"/>
      <c r="L287" s="613"/>
      <c r="M287" s="687"/>
      <c r="N287" s="688"/>
      <c r="O287" s="2"/>
      <c r="P287" s="9"/>
      <c r="Q287" s="2"/>
      <c r="R287" s="687"/>
      <c r="S287" s="688"/>
      <c r="T287" s="2"/>
      <c r="U287" s="2"/>
      <c r="X287" s="9"/>
      <c r="Y287" s="371"/>
      <c r="Z287" s="386">
        <f t="shared" si="25"/>
        <v>1</v>
      </c>
      <c r="AA287" s="380">
        <v>0</v>
      </c>
      <c r="AB287" s="380">
        <v>0</v>
      </c>
      <c r="AC287" s="379">
        <v>1</v>
      </c>
      <c r="AD287" s="379">
        <v>1</v>
      </c>
      <c r="AE287" s="379">
        <v>1</v>
      </c>
      <c r="AF287" s="379"/>
      <c r="AG287" s="380">
        <v>0</v>
      </c>
      <c r="AH287" s="380">
        <v>0</v>
      </c>
      <c r="AI287" s="380">
        <v>0</v>
      </c>
      <c r="AJ287" s="380">
        <v>0</v>
      </c>
      <c r="AL287" s="366" t="s">
        <v>238</v>
      </c>
    </row>
    <row r="288" spans="1:43" s="1" customFormat="1" ht="12.75" customHeight="1" x14ac:dyDescent="0.25">
      <c r="A288" s="369">
        <f t="shared" si="26"/>
        <v>6</v>
      </c>
      <c r="B288" s="402"/>
      <c r="C288" s="615" t="s">
        <v>117</v>
      </c>
      <c r="D288" s="615"/>
      <c r="E288" s="615"/>
      <c r="F288" s="615"/>
      <c r="G288" s="615"/>
      <c r="H288" s="615"/>
      <c r="I288" s="615"/>
      <c r="J288" s="615"/>
      <c r="K288" s="615"/>
      <c r="L288" s="613"/>
      <c r="M288" s="605"/>
      <c r="N288" s="606"/>
      <c r="O288" s="2"/>
      <c r="P288" s="9"/>
      <c r="Q288" s="363"/>
      <c r="R288" s="605"/>
      <c r="S288" s="606"/>
      <c r="T288" s="363"/>
      <c r="U288" s="363"/>
      <c r="X288" s="9"/>
      <c r="Y288" s="371"/>
      <c r="Z288" s="386">
        <f t="shared" si="25"/>
        <v>1</v>
      </c>
      <c r="AA288" s="380">
        <v>0</v>
      </c>
      <c r="AB288" s="380">
        <v>0</v>
      </c>
      <c r="AC288" s="379">
        <v>1</v>
      </c>
      <c r="AD288" s="379">
        <v>1</v>
      </c>
      <c r="AE288" s="379">
        <v>1</v>
      </c>
      <c r="AF288" s="379"/>
      <c r="AG288" s="380">
        <v>0</v>
      </c>
      <c r="AH288" s="380">
        <v>0</v>
      </c>
      <c r="AI288" s="380">
        <v>0</v>
      </c>
      <c r="AJ288" s="380">
        <v>0</v>
      </c>
      <c r="AL288" s="366" t="s">
        <v>816</v>
      </c>
    </row>
    <row r="289" spans="1:39" s="1" customFormat="1" ht="12.75" customHeight="1" x14ac:dyDescent="0.25">
      <c r="A289" s="369">
        <f t="shared" si="26"/>
        <v>7</v>
      </c>
      <c r="B289" s="402"/>
      <c r="C289" s="615" t="s">
        <v>176</v>
      </c>
      <c r="D289" s="615"/>
      <c r="E289" s="615"/>
      <c r="F289" s="615"/>
      <c r="G289" s="615"/>
      <c r="H289" s="615"/>
      <c r="I289" s="615"/>
      <c r="J289" s="615"/>
      <c r="K289" s="615"/>
      <c r="L289" s="613"/>
      <c r="M289" s="622">
        <f>M287*M288</f>
        <v>0</v>
      </c>
      <c r="N289" s="623"/>
      <c r="O289" s="2"/>
      <c r="P289" s="9"/>
      <c r="Q289" s="363"/>
      <c r="R289" s="622">
        <f>R287*R288</f>
        <v>0</v>
      </c>
      <c r="S289" s="623"/>
      <c r="T289" s="363"/>
      <c r="U289" s="363"/>
      <c r="X289" s="9"/>
      <c r="Y289" s="371"/>
      <c r="Z289" s="386">
        <f t="shared" si="25"/>
        <v>1</v>
      </c>
      <c r="AA289" s="380">
        <v>0</v>
      </c>
      <c r="AB289" s="380">
        <v>0</v>
      </c>
      <c r="AC289" s="379">
        <v>1</v>
      </c>
      <c r="AD289" s="379">
        <v>1</v>
      </c>
      <c r="AE289" s="379">
        <v>1</v>
      </c>
      <c r="AF289" s="379"/>
      <c r="AG289" s="380">
        <v>0</v>
      </c>
      <c r="AH289" s="380">
        <v>0</v>
      </c>
      <c r="AI289" s="380">
        <v>0</v>
      </c>
      <c r="AJ289" s="380">
        <v>0</v>
      </c>
      <c r="AL289" s="366" t="s">
        <v>753</v>
      </c>
    </row>
    <row r="290" spans="1:39" s="1" customFormat="1" ht="12.75" customHeight="1" x14ac:dyDescent="0.25">
      <c r="A290" s="369">
        <f t="shared" si="26"/>
        <v>8</v>
      </c>
      <c r="B290" s="402"/>
      <c r="C290" s="615" t="s">
        <v>177</v>
      </c>
      <c r="D290" s="615"/>
      <c r="E290" s="615"/>
      <c r="F290" s="615"/>
      <c r="G290" s="615"/>
      <c r="H290" s="615"/>
      <c r="I290" s="615"/>
      <c r="J290" s="615"/>
      <c r="K290" s="615"/>
      <c r="L290" s="613"/>
      <c r="M290" s="687"/>
      <c r="N290" s="688"/>
      <c r="O290" s="2"/>
      <c r="P290" s="9"/>
      <c r="Q290" s="363"/>
      <c r="R290" s="687"/>
      <c r="S290" s="688"/>
      <c r="T290" s="363"/>
      <c r="U290" s="363"/>
      <c r="X290" s="9"/>
      <c r="Y290" s="371"/>
      <c r="Z290" s="386">
        <f t="shared" si="25"/>
        <v>1</v>
      </c>
      <c r="AA290" s="380">
        <v>0</v>
      </c>
      <c r="AB290" s="380">
        <v>0</v>
      </c>
      <c r="AC290" s="379">
        <v>1</v>
      </c>
      <c r="AD290" s="379">
        <v>1</v>
      </c>
      <c r="AE290" s="379">
        <v>1</v>
      </c>
      <c r="AF290" s="379"/>
      <c r="AG290" s="380">
        <v>0</v>
      </c>
      <c r="AH290" s="380">
        <v>0</v>
      </c>
      <c r="AI290" s="380">
        <v>0</v>
      </c>
      <c r="AJ290" s="380">
        <v>0</v>
      </c>
      <c r="AL290" s="366" t="s">
        <v>238</v>
      </c>
    </row>
    <row r="291" spans="1:39" s="1" customFormat="1" ht="12.75" customHeight="1" x14ac:dyDescent="0.25">
      <c r="A291" s="369">
        <f t="shared" si="26"/>
        <v>9</v>
      </c>
      <c r="B291" s="402"/>
      <c r="C291" s="615" t="s">
        <v>178</v>
      </c>
      <c r="D291" s="615"/>
      <c r="E291" s="615"/>
      <c r="F291" s="615"/>
      <c r="G291" s="615"/>
      <c r="H291" s="615"/>
      <c r="I291" s="615"/>
      <c r="J291" s="615"/>
      <c r="K291" s="615"/>
      <c r="L291" s="613"/>
      <c r="M291" s="622">
        <f>M286+M289+M290</f>
        <v>0</v>
      </c>
      <c r="N291" s="623"/>
      <c r="O291" s="2"/>
      <c r="P291" s="9"/>
      <c r="Q291" s="363"/>
      <c r="R291" s="622">
        <f>R286+R289+R290</f>
        <v>0</v>
      </c>
      <c r="S291" s="623"/>
      <c r="T291" s="363"/>
      <c r="U291" s="363"/>
      <c r="X291" s="9"/>
      <c r="Y291" s="371"/>
      <c r="Z291" s="386">
        <f t="shared" si="25"/>
        <v>1</v>
      </c>
      <c r="AA291" s="380">
        <v>0</v>
      </c>
      <c r="AB291" s="380">
        <v>0</v>
      </c>
      <c r="AC291" s="379">
        <v>1</v>
      </c>
      <c r="AD291" s="379">
        <v>1</v>
      </c>
      <c r="AE291" s="379">
        <v>1</v>
      </c>
      <c r="AF291" s="379"/>
      <c r="AG291" s="380">
        <v>0</v>
      </c>
      <c r="AH291" s="380">
        <v>0</v>
      </c>
      <c r="AI291" s="380">
        <v>0</v>
      </c>
      <c r="AJ291" s="380">
        <v>0</v>
      </c>
      <c r="AL291" s="366"/>
    </row>
    <row r="292" spans="1:39" s="1" customFormat="1" ht="12.75" customHeight="1" x14ac:dyDescent="0.25">
      <c r="A292" s="369">
        <f t="shared" si="26"/>
        <v>10</v>
      </c>
      <c r="B292" s="402"/>
      <c r="C292" s="615" t="s">
        <v>93</v>
      </c>
      <c r="D292" s="615"/>
      <c r="E292" s="615"/>
      <c r="F292" s="615"/>
      <c r="G292" s="615"/>
      <c r="H292" s="615"/>
      <c r="I292" s="615"/>
      <c r="J292" s="615"/>
      <c r="K292" s="615"/>
      <c r="L292" s="613"/>
      <c r="M292" s="685" t="e">
        <f>(M283+1)/(M283-M284)</f>
        <v>#DIV/0!</v>
      </c>
      <c r="N292" s="686"/>
      <c r="O292" s="362" t="s">
        <v>518</v>
      </c>
      <c r="P292" s="87" t="e">
        <f>IF(M292&gt;2,"si","no")</f>
        <v>#DIV/0!</v>
      </c>
      <c r="Q292" s="8"/>
      <c r="R292" s="685" t="e">
        <f>(R283+1)/(R283-R284)</f>
        <v>#DIV/0!</v>
      </c>
      <c r="S292" s="686"/>
      <c r="T292" s="362" t="s">
        <v>518</v>
      </c>
      <c r="U292" s="87" t="e">
        <f>IF(R292&gt;2,"si","no")</f>
        <v>#DIV/0!</v>
      </c>
      <c r="V292" s="8"/>
      <c r="X292" s="9"/>
      <c r="Y292" s="371"/>
      <c r="Z292" s="386">
        <f t="shared" si="25"/>
        <v>1</v>
      </c>
      <c r="AA292" s="380">
        <v>0</v>
      </c>
      <c r="AB292" s="380">
        <v>0</v>
      </c>
      <c r="AC292" s="379">
        <v>1</v>
      </c>
      <c r="AD292" s="379">
        <v>1</v>
      </c>
      <c r="AE292" s="379">
        <v>1</v>
      </c>
      <c r="AF292" s="379"/>
      <c r="AG292" s="380">
        <v>0</v>
      </c>
      <c r="AH292" s="380">
        <v>0</v>
      </c>
      <c r="AI292" s="380">
        <v>0</v>
      </c>
      <c r="AJ292" s="380">
        <v>0</v>
      </c>
      <c r="AL292" s="366" t="s">
        <v>764</v>
      </c>
    </row>
    <row r="293" spans="1:39" s="1" customFormat="1" ht="12.75" customHeight="1" x14ac:dyDescent="0.25">
      <c r="A293" s="369">
        <f t="shared" si="26"/>
        <v>11</v>
      </c>
      <c r="B293" s="402"/>
      <c r="C293" s="615" t="s">
        <v>179</v>
      </c>
      <c r="D293" s="615"/>
      <c r="E293" s="615"/>
      <c r="F293" s="615"/>
      <c r="G293" s="615"/>
      <c r="H293" s="615"/>
      <c r="I293" s="615"/>
      <c r="J293" s="615"/>
      <c r="K293" s="615"/>
      <c r="L293" s="613"/>
      <c r="M293" s="622" t="e">
        <f>M291*M292</f>
        <v>#DIV/0!</v>
      </c>
      <c r="N293" s="623"/>
      <c r="O293" s="2"/>
      <c r="P293" s="9"/>
      <c r="Q293" s="363"/>
      <c r="R293" s="622" t="e">
        <f>R291*R292</f>
        <v>#DIV/0!</v>
      </c>
      <c r="S293" s="623"/>
      <c r="T293" s="363"/>
      <c r="U293" s="363"/>
      <c r="X293" s="9"/>
      <c r="Y293" s="371"/>
      <c r="Z293" s="386">
        <f t="shared" si="25"/>
        <v>1</v>
      </c>
      <c r="AA293" s="380">
        <v>0</v>
      </c>
      <c r="AB293" s="380">
        <v>0</v>
      </c>
      <c r="AC293" s="379">
        <v>1</v>
      </c>
      <c r="AD293" s="379">
        <v>1</v>
      </c>
      <c r="AE293" s="379">
        <v>1</v>
      </c>
      <c r="AF293" s="379"/>
      <c r="AG293" s="380">
        <v>0</v>
      </c>
      <c r="AH293" s="380">
        <v>0</v>
      </c>
      <c r="AI293" s="380">
        <v>0</v>
      </c>
      <c r="AJ293" s="380">
        <v>0</v>
      </c>
      <c r="AL293" s="366" t="s">
        <v>298</v>
      </c>
    </row>
    <row r="294" spans="1:39" s="1" customFormat="1" ht="12.75" customHeight="1" x14ac:dyDescent="0.25">
      <c r="A294" s="369">
        <f t="shared" si="26"/>
        <v>12</v>
      </c>
      <c r="B294" s="402"/>
      <c r="C294" s="615" t="s">
        <v>180</v>
      </c>
      <c r="D294" s="615"/>
      <c r="E294" s="615"/>
      <c r="F294" s="615"/>
      <c r="G294" s="615"/>
      <c r="H294" s="615"/>
      <c r="I294" s="615"/>
      <c r="J294" s="615"/>
      <c r="K294" s="615"/>
      <c r="L294" s="613"/>
      <c r="M294" s="605"/>
      <c r="N294" s="606"/>
      <c r="O294" s="362"/>
      <c r="P294" s="9"/>
      <c r="Q294" s="363"/>
      <c r="R294" s="605"/>
      <c r="S294" s="606"/>
      <c r="T294" s="363"/>
      <c r="U294" s="363"/>
      <c r="X294" s="9"/>
      <c r="Y294" s="371"/>
      <c r="Z294" s="386">
        <f t="shared" si="25"/>
        <v>1</v>
      </c>
      <c r="AA294" s="380">
        <v>0</v>
      </c>
      <c r="AB294" s="380">
        <v>0</v>
      </c>
      <c r="AC294" s="379">
        <v>1</v>
      </c>
      <c r="AD294" s="379">
        <v>1</v>
      </c>
      <c r="AE294" s="379">
        <v>1</v>
      </c>
      <c r="AF294" s="379"/>
      <c r="AG294" s="380">
        <v>0</v>
      </c>
      <c r="AH294" s="380">
        <v>0</v>
      </c>
      <c r="AI294" s="380">
        <v>0</v>
      </c>
      <c r="AJ294" s="380">
        <v>0</v>
      </c>
      <c r="AL294" s="366" t="s">
        <v>721</v>
      </c>
    </row>
    <row r="295" spans="1:39" s="1" customFormat="1" ht="12.75" customHeight="1" x14ac:dyDescent="0.25">
      <c r="A295" s="369">
        <f t="shared" si="26"/>
        <v>13</v>
      </c>
      <c r="B295" s="402"/>
      <c r="C295" s="615" t="s">
        <v>182</v>
      </c>
      <c r="D295" s="615"/>
      <c r="E295" s="615"/>
      <c r="F295" s="615"/>
      <c r="G295" s="615"/>
      <c r="H295" s="615"/>
      <c r="I295" s="615"/>
      <c r="J295" s="615"/>
      <c r="K295" s="615"/>
      <c r="L295" s="613"/>
      <c r="M295" s="605"/>
      <c r="N295" s="606"/>
      <c r="O295" s="362"/>
      <c r="P295" s="9"/>
      <c r="Q295" s="363"/>
      <c r="R295" s="605"/>
      <c r="S295" s="606"/>
      <c r="T295" s="363"/>
      <c r="U295" s="363"/>
      <c r="X295" s="9"/>
      <c r="Y295" s="371"/>
      <c r="Z295" s="386">
        <f t="shared" si="25"/>
        <v>1</v>
      </c>
      <c r="AA295" s="380">
        <v>0</v>
      </c>
      <c r="AB295" s="380">
        <v>0</v>
      </c>
      <c r="AC295" s="379">
        <v>1</v>
      </c>
      <c r="AD295" s="379">
        <v>1</v>
      </c>
      <c r="AE295" s="379">
        <v>1</v>
      </c>
      <c r="AF295" s="379"/>
      <c r="AG295" s="380">
        <v>0</v>
      </c>
      <c r="AH295" s="380">
        <v>0</v>
      </c>
      <c r="AI295" s="380">
        <v>0</v>
      </c>
      <c r="AJ295" s="380">
        <v>0</v>
      </c>
      <c r="AL295" s="366" t="s">
        <v>238</v>
      </c>
    </row>
    <row r="296" spans="1:39" s="1" customFormat="1" ht="12.75" customHeight="1" x14ac:dyDescent="0.25">
      <c r="A296" s="369">
        <f t="shared" si="26"/>
        <v>14</v>
      </c>
      <c r="B296" s="402"/>
      <c r="C296" s="615" t="s">
        <v>183</v>
      </c>
      <c r="D296" s="615"/>
      <c r="E296" s="615"/>
      <c r="F296" s="615"/>
      <c r="G296" s="615"/>
      <c r="H296" s="615"/>
      <c r="I296" s="615"/>
      <c r="J296" s="615"/>
      <c r="K296" s="615"/>
      <c r="L296" s="613"/>
      <c r="M296" s="669">
        <f>M294*M295</f>
        <v>0</v>
      </c>
      <c r="N296" s="670"/>
      <c r="O296" s="2"/>
      <c r="P296" s="9"/>
      <c r="Q296" s="363"/>
      <c r="R296" s="669">
        <f>R294*R295</f>
        <v>0</v>
      </c>
      <c r="S296" s="670"/>
      <c r="T296" s="363"/>
      <c r="U296" s="363"/>
      <c r="X296" s="9"/>
      <c r="Y296" s="371"/>
      <c r="Z296" s="386">
        <f t="shared" si="25"/>
        <v>1</v>
      </c>
      <c r="AA296" s="380">
        <v>0</v>
      </c>
      <c r="AB296" s="380">
        <v>0</v>
      </c>
      <c r="AC296" s="379">
        <v>1</v>
      </c>
      <c r="AD296" s="379">
        <v>1</v>
      </c>
      <c r="AE296" s="379">
        <v>1</v>
      </c>
      <c r="AF296" s="379"/>
      <c r="AG296" s="380">
        <v>0</v>
      </c>
      <c r="AH296" s="380">
        <v>0</v>
      </c>
      <c r="AI296" s="380">
        <v>0</v>
      </c>
      <c r="AJ296" s="380">
        <v>0</v>
      </c>
      <c r="AL296" s="366"/>
    </row>
    <row r="297" spans="1:39" s="1" customFormat="1" ht="12.75" customHeight="1" x14ac:dyDescent="0.25">
      <c r="A297" s="355">
        <f t="shared" si="26"/>
        <v>15</v>
      </c>
      <c r="B297" s="402"/>
      <c r="C297" s="615" t="s">
        <v>68</v>
      </c>
      <c r="D297" s="615"/>
      <c r="E297" s="615"/>
      <c r="F297" s="615"/>
      <c r="G297" s="615"/>
      <c r="H297" s="615"/>
      <c r="I297" s="615"/>
      <c r="J297" s="615"/>
      <c r="K297" s="615"/>
      <c r="L297" s="613"/>
      <c r="M297" s="605"/>
      <c r="N297" s="621"/>
      <c r="O297" s="621"/>
      <c r="P297" s="606"/>
      <c r="Q297" s="363"/>
      <c r="R297" s="605"/>
      <c r="S297" s="621"/>
      <c r="T297" s="621"/>
      <c r="U297" s="606"/>
      <c r="X297" s="9"/>
      <c r="Y297" s="371"/>
      <c r="Z297" s="386">
        <f t="shared" si="25"/>
        <v>1</v>
      </c>
      <c r="AA297" s="380">
        <v>0</v>
      </c>
      <c r="AB297" s="380">
        <v>0</v>
      </c>
      <c r="AC297" s="379">
        <v>0</v>
      </c>
      <c r="AD297" s="379">
        <v>1</v>
      </c>
      <c r="AE297" s="379">
        <v>1</v>
      </c>
      <c r="AF297" s="379"/>
      <c r="AG297" s="380">
        <v>0</v>
      </c>
      <c r="AH297" s="380">
        <v>0</v>
      </c>
      <c r="AI297" s="380">
        <v>0</v>
      </c>
      <c r="AJ297" s="380">
        <v>0</v>
      </c>
      <c r="AL297" s="366"/>
    </row>
    <row r="298" spans="1:39" s="1" customFormat="1" ht="12.75" customHeight="1" x14ac:dyDescent="0.25">
      <c r="A298" s="355">
        <f t="shared" si="26"/>
        <v>16</v>
      </c>
      <c r="B298" s="402"/>
      <c r="C298" s="615" t="s">
        <v>181</v>
      </c>
      <c r="D298" s="615"/>
      <c r="E298" s="615"/>
      <c r="F298" s="615"/>
      <c r="G298" s="615"/>
      <c r="H298" s="615"/>
      <c r="I298" s="615"/>
      <c r="J298" s="615"/>
      <c r="K298" s="615"/>
      <c r="L298" s="613"/>
      <c r="M298" s="605"/>
      <c r="N298" s="606"/>
      <c r="O298" s="362"/>
      <c r="P298" s="9"/>
      <c r="Q298" s="363"/>
      <c r="R298" s="605"/>
      <c r="S298" s="606"/>
      <c r="T298" s="363"/>
      <c r="U298" s="363"/>
      <c r="X298" s="9"/>
      <c r="Y298" s="371"/>
      <c r="Z298" s="386">
        <f t="shared" si="25"/>
        <v>1</v>
      </c>
      <c r="AA298" s="380">
        <v>0</v>
      </c>
      <c r="AB298" s="380">
        <v>0</v>
      </c>
      <c r="AC298" s="380">
        <v>0</v>
      </c>
      <c r="AD298" s="379">
        <v>1</v>
      </c>
      <c r="AE298" s="379">
        <v>1</v>
      </c>
      <c r="AF298" s="379"/>
      <c r="AG298" s="380">
        <v>0</v>
      </c>
      <c r="AH298" s="380">
        <v>0</v>
      </c>
      <c r="AI298" s="380">
        <v>0</v>
      </c>
      <c r="AJ298" s="380">
        <v>0</v>
      </c>
      <c r="AL298" s="366"/>
    </row>
    <row r="299" spans="1:39" s="1" customFormat="1" ht="12.75" customHeight="1" x14ac:dyDescent="0.25">
      <c r="A299" s="355">
        <f t="shared" si="26"/>
        <v>17</v>
      </c>
      <c r="B299" s="402"/>
      <c r="C299" s="612" t="s">
        <v>173</v>
      </c>
      <c r="D299" s="612"/>
      <c r="E299" s="612"/>
      <c r="F299" s="612"/>
      <c r="G299" s="612"/>
      <c r="H299" s="612"/>
      <c r="I299" s="612"/>
      <c r="J299" s="612"/>
      <c r="K299" s="612"/>
      <c r="L299" s="613"/>
      <c r="M299" s="605"/>
      <c r="N299" s="606"/>
      <c r="O299" s="362"/>
      <c r="P299" s="9"/>
      <c r="Q299" s="2"/>
      <c r="R299" s="605"/>
      <c r="S299" s="606"/>
      <c r="T299" s="2"/>
      <c r="U299" s="2"/>
      <c r="X299" s="9"/>
      <c r="Y299" s="371"/>
      <c r="Z299" s="386">
        <f t="shared" si="25"/>
        <v>1</v>
      </c>
      <c r="AA299" s="380">
        <v>0</v>
      </c>
      <c r="AB299" s="380">
        <v>0</v>
      </c>
      <c r="AC299" s="380">
        <v>0</v>
      </c>
      <c r="AD299" s="379">
        <v>1</v>
      </c>
      <c r="AE299" s="379">
        <v>1</v>
      </c>
      <c r="AF299" s="379"/>
      <c r="AG299" s="380">
        <v>0</v>
      </c>
      <c r="AH299" s="380">
        <v>0</v>
      </c>
      <c r="AI299" s="380">
        <v>0</v>
      </c>
      <c r="AJ299" s="380">
        <v>0</v>
      </c>
      <c r="AL299" s="366"/>
    </row>
    <row r="300" spans="1:39" s="1" customFormat="1" ht="12.75" customHeight="1" x14ac:dyDescent="0.25">
      <c r="A300" s="369"/>
      <c r="B300" s="371"/>
      <c r="C300" s="2"/>
      <c r="D300" s="2"/>
      <c r="E300" s="2"/>
      <c r="F300" s="2"/>
      <c r="G300" s="2"/>
      <c r="H300" s="2"/>
      <c r="I300" s="2"/>
      <c r="J300" s="2"/>
      <c r="K300" s="2"/>
      <c r="L300" s="2"/>
      <c r="M300" s="2"/>
      <c r="N300" s="2"/>
      <c r="O300" s="2"/>
      <c r="P300" s="2"/>
      <c r="Q300" s="2"/>
      <c r="R300" s="2"/>
      <c r="S300" s="2"/>
      <c r="T300" s="2"/>
      <c r="U300" s="2"/>
      <c r="V300" s="2"/>
      <c r="W300" s="2"/>
      <c r="X300" s="2"/>
      <c r="Y300" s="371"/>
      <c r="Z300" s="386" t="s">
        <v>2</v>
      </c>
      <c r="AA300" s="380">
        <v>0</v>
      </c>
      <c r="AB300" s="380">
        <v>0</v>
      </c>
      <c r="AC300" s="379" t="s">
        <v>2</v>
      </c>
      <c r="AD300" s="379" t="s">
        <v>2</v>
      </c>
      <c r="AE300" s="379" t="s">
        <v>2</v>
      </c>
      <c r="AF300" s="379"/>
      <c r="AG300" s="380">
        <v>0</v>
      </c>
      <c r="AH300" s="380">
        <v>0</v>
      </c>
      <c r="AI300" s="380">
        <v>0</v>
      </c>
      <c r="AJ300" s="380">
        <v>0</v>
      </c>
      <c r="AL300" s="366"/>
    </row>
    <row r="301" spans="1:39" s="551" customFormat="1" ht="12.75" customHeight="1" x14ac:dyDescent="0.25">
      <c r="A301" s="540"/>
      <c r="B301" s="541" t="s">
        <v>708</v>
      </c>
      <c r="C301" s="637" t="s">
        <v>153</v>
      </c>
      <c r="D301" s="637"/>
      <c r="E301" s="637"/>
      <c r="F301" s="637"/>
      <c r="G301" s="637"/>
      <c r="H301" s="637"/>
      <c r="I301" s="637"/>
      <c r="J301" s="637"/>
      <c r="K301" s="637"/>
      <c r="L301" s="637"/>
      <c r="M301" s="541"/>
      <c r="N301" s="637"/>
      <c r="O301" s="637"/>
      <c r="P301" s="637"/>
      <c r="Q301" s="637"/>
      <c r="R301" s="637"/>
      <c r="S301" s="637"/>
      <c r="T301" s="637"/>
      <c r="U301" s="637"/>
      <c r="V301" s="637"/>
      <c r="W301" s="637"/>
      <c r="X301" s="541"/>
      <c r="Y301" s="541"/>
      <c r="Z301" s="546" t="s">
        <v>2</v>
      </c>
      <c r="AA301" s="547">
        <v>0</v>
      </c>
      <c r="AB301" s="547">
        <v>0</v>
      </c>
      <c r="AC301" s="548" t="s">
        <v>2</v>
      </c>
      <c r="AD301" s="548" t="s">
        <v>2</v>
      </c>
      <c r="AE301" s="548" t="s">
        <v>2</v>
      </c>
      <c r="AF301" s="548"/>
      <c r="AG301" s="547">
        <v>0</v>
      </c>
      <c r="AH301" s="547">
        <v>0</v>
      </c>
      <c r="AI301" s="547">
        <v>0</v>
      </c>
      <c r="AJ301" s="547">
        <v>0</v>
      </c>
      <c r="AL301" s="552"/>
      <c r="AM301" s="553"/>
    </row>
    <row r="302" spans="1:39" s="51" customFormat="1" ht="12.75" customHeight="1" x14ac:dyDescent="0.25">
      <c r="A302" s="48"/>
      <c r="B302" s="347"/>
      <c r="C302" s="364"/>
      <c r="D302" s="364"/>
      <c r="E302" s="364"/>
      <c r="F302" s="364"/>
      <c r="G302" s="364"/>
      <c r="H302" s="364"/>
      <c r="I302" s="364"/>
      <c r="J302" s="364"/>
      <c r="K302" s="364"/>
      <c r="L302" s="364"/>
      <c r="M302" s="347"/>
      <c r="N302" s="364"/>
      <c r="O302" s="364"/>
      <c r="P302" s="364"/>
      <c r="Q302" s="364"/>
      <c r="R302" s="364"/>
      <c r="S302" s="364"/>
      <c r="T302" s="364"/>
      <c r="U302" s="364"/>
      <c r="V302" s="364"/>
      <c r="W302" s="364"/>
      <c r="X302" s="347"/>
      <c r="Y302" s="44"/>
      <c r="Z302" s="386" t="s">
        <v>2</v>
      </c>
      <c r="AA302" s="380">
        <v>0</v>
      </c>
      <c r="AB302" s="380">
        <v>0</v>
      </c>
      <c r="AC302" s="379" t="s">
        <v>2</v>
      </c>
      <c r="AD302" s="379" t="s">
        <v>2</v>
      </c>
      <c r="AE302" s="379" t="s">
        <v>2</v>
      </c>
      <c r="AF302" s="379"/>
      <c r="AG302" s="380">
        <v>0</v>
      </c>
      <c r="AH302" s="380">
        <v>0</v>
      </c>
      <c r="AI302" s="380">
        <v>0</v>
      </c>
      <c r="AJ302" s="380">
        <v>0</v>
      </c>
      <c r="AL302" s="392"/>
      <c r="AM302" s="14"/>
    </row>
    <row r="303" spans="1:39" s="1" customFormat="1" ht="12.75" customHeight="1" x14ac:dyDescent="0.25">
      <c r="A303" s="369">
        <v>1</v>
      </c>
      <c r="B303" s="409"/>
      <c r="C303" s="578" t="s">
        <v>418</v>
      </c>
      <c r="D303" s="578"/>
      <c r="E303" s="578"/>
      <c r="F303" s="578"/>
      <c r="G303" s="578"/>
      <c r="H303" s="578"/>
      <c r="I303" s="578"/>
      <c r="J303" s="578"/>
      <c r="K303" s="578"/>
      <c r="L303" s="579"/>
      <c r="M303" s="611" t="s">
        <v>238</v>
      </c>
      <c r="N303" s="611"/>
      <c r="O303" s="611"/>
      <c r="P303" s="611"/>
      <c r="Q303" s="580"/>
      <c r="R303" s="580"/>
      <c r="S303" s="580"/>
      <c r="T303" s="580"/>
      <c r="U303" s="580"/>
      <c r="V303" s="580"/>
      <c r="W303" s="580"/>
      <c r="X303" s="580"/>
      <c r="Y303" s="371"/>
      <c r="Z303" s="386">
        <f t="shared" ref="Z303:Z312" si="27">IF(Z$3=0,0,IF(Z$3=1,AA303,IF(Z$3=2,AB303,IF(Z$3=3,AC303,IF(Z$3=4,AD303,IF(Z$3=5,AE303,IF(Z$3=6,AG303,IF(Z$3=7,AH303,IF(Z$3=8,AI303,IF(Z$3=9,AJ303,0))))))))))</f>
        <v>1</v>
      </c>
      <c r="AA303" s="380">
        <v>0</v>
      </c>
      <c r="AB303" s="380">
        <v>0</v>
      </c>
      <c r="AC303" s="379">
        <v>1</v>
      </c>
      <c r="AD303" s="379">
        <v>1</v>
      </c>
      <c r="AE303" s="379">
        <v>1</v>
      </c>
      <c r="AF303" s="379"/>
      <c r="AG303" s="380">
        <v>0</v>
      </c>
      <c r="AH303" s="380">
        <v>0</v>
      </c>
      <c r="AI303" s="380">
        <v>0</v>
      </c>
      <c r="AJ303" s="380">
        <v>0</v>
      </c>
      <c r="AL303" s="366" t="s">
        <v>72</v>
      </c>
    </row>
    <row r="304" spans="1:39" s="1" customFormat="1" ht="12.75" customHeight="1" x14ac:dyDescent="0.25">
      <c r="A304" s="369">
        <f t="shared" ref="A304:A309" si="28">A303+1</f>
        <v>2</v>
      </c>
      <c r="B304" s="409"/>
      <c r="C304" s="578" t="s">
        <v>419</v>
      </c>
      <c r="D304" s="578"/>
      <c r="E304" s="578"/>
      <c r="F304" s="578"/>
      <c r="G304" s="578"/>
      <c r="H304" s="578"/>
      <c r="I304" s="578"/>
      <c r="J304" s="578"/>
      <c r="K304" s="578"/>
      <c r="L304" s="579"/>
      <c r="M304" s="611" t="s">
        <v>238</v>
      </c>
      <c r="N304" s="611"/>
      <c r="O304" s="611"/>
      <c r="P304" s="611"/>
      <c r="Q304" s="580"/>
      <c r="R304" s="580"/>
      <c r="S304" s="580"/>
      <c r="T304" s="580"/>
      <c r="U304" s="580"/>
      <c r="V304" s="580"/>
      <c r="W304" s="580"/>
      <c r="X304" s="580"/>
      <c r="Y304" s="371"/>
      <c r="Z304" s="386">
        <f t="shared" si="27"/>
        <v>1</v>
      </c>
      <c r="AA304" s="380">
        <v>0</v>
      </c>
      <c r="AB304" s="380">
        <v>0</v>
      </c>
      <c r="AC304" s="379">
        <v>1</v>
      </c>
      <c r="AD304" s="379">
        <v>1</v>
      </c>
      <c r="AE304" s="379">
        <v>1</v>
      </c>
      <c r="AF304" s="379"/>
      <c r="AG304" s="380">
        <v>0</v>
      </c>
      <c r="AH304" s="380">
        <v>0</v>
      </c>
      <c r="AI304" s="380">
        <v>0</v>
      </c>
      <c r="AJ304" s="380">
        <v>0</v>
      </c>
      <c r="AL304" s="366" t="s">
        <v>770</v>
      </c>
    </row>
    <row r="305" spans="1:39" s="1" customFormat="1" ht="12.75" customHeight="1" x14ac:dyDescent="0.25">
      <c r="A305" s="369">
        <f t="shared" si="28"/>
        <v>3</v>
      </c>
      <c r="B305" s="409"/>
      <c r="C305" s="578" t="s">
        <v>420</v>
      </c>
      <c r="D305" s="578"/>
      <c r="E305" s="578"/>
      <c r="F305" s="578"/>
      <c r="G305" s="578"/>
      <c r="H305" s="578"/>
      <c r="I305" s="578"/>
      <c r="J305" s="578"/>
      <c r="K305" s="578"/>
      <c r="L305" s="579"/>
      <c r="M305" s="611" t="s">
        <v>238</v>
      </c>
      <c r="N305" s="611"/>
      <c r="O305" s="611"/>
      <c r="P305" s="611"/>
      <c r="Q305" s="580"/>
      <c r="R305" s="580"/>
      <c r="S305" s="580"/>
      <c r="T305" s="580"/>
      <c r="U305" s="580"/>
      <c r="V305" s="580"/>
      <c r="W305" s="580"/>
      <c r="X305" s="580"/>
      <c r="Y305" s="371"/>
      <c r="Z305" s="386">
        <f t="shared" si="27"/>
        <v>1</v>
      </c>
      <c r="AA305" s="380">
        <v>0</v>
      </c>
      <c r="AB305" s="380">
        <v>0</v>
      </c>
      <c r="AC305" s="379">
        <v>1</v>
      </c>
      <c r="AD305" s="379">
        <v>1</v>
      </c>
      <c r="AE305" s="379">
        <v>1</v>
      </c>
      <c r="AF305" s="379"/>
      <c r="AG305" s="380">
        <v>0</v>
      </c>
      <c r="AH305" s="380">
        <v>0</v>
      </c>
      <c r="AI305" s="380">
        <v>0</v>
      </c>
      <c r="AJ305" s="380">
        <v>0</v>
      </c>
      <c r="AL305" s="366" t="s">
        <v>721</v>
      </c>
    </row>
    <row r="306" spans="1:39" s="1" customFormat="1" ht="12.75" customHeight="1" x14ac:dyDescent="0.25">
      <c r="A306" s="369">
        <f t="shared" si="28"/>
        <v>4</v>
      </c>
      <c r="B306" s="409"/>
      <c r="C306" s="578" t="s">
        <v>421</v>
      </c>
      <c r="D306" s="578"/>
      <c r="E306" s="578"/>
      <c r="F306" s="578"/>
      <c r="G306" s="578"/>
      <c r="H306" s="578"/>
      <c r="I306" s="578"/>
      <c r="J306" s="578"/>
      <c r="K306" s="578"/>
      <c r="L306" s="579"/>
      <c r="M306" s="611" t="s">
        <v>238</v>
      </c>
      <c r="N306" s="611"/>
      <c r="O306" s="611"/>
      <c r="P306" s="611"/>
      <c r="Q306" s="580"/>
      <c r="R306" s="580"/>
      <c r="S306" s="580"/>
      <c r="T306" s="580"/>
      <c r="U306" s="580"/>
      <c r="V306" s="580"/>
      <c r="W306" s="580"/>
      <c r="X306" s="580"/>
      <c r="Y306" s="371"/>
      <c r="Z306" s="386">
        <f t="shared" si="27"/>
        <v>1</v>
      </c>
      <c r="AA306" s="380">
        <v>0</v>
      </c>
      <c r="AB306" s="380">
        <v>0</v>
      </c>
      <c r="AC306" s="379">
        <v>1</v>
      </c>
      <c r="AD306" s="379">
        <v>1</v>
      </c>
      <c r="AE306" s="379">
        <v>1</v>
      </c>
      <c r="AF306" s="379"/>
      <c r="AG306" s="380">
        <v>0</v>
      </c>
      <c r="AH306" s="380">
        <v>0</v>
      </c>
      <c r="AI306" s="380">
        <v>0</v>
      </c>
      <c r="AJ306" s="380">
        <v>0</v>
      </c>
      <c r="AL306" s="366" t="s">
        <v>238</v>
      </c>
    </row>
    <row r="307" spans="1:39" s="1" customFormat="1" ht="12.75" customHeight="1" x14ac:dyDescent="0.25">
      <c r="A307" s="369">
        <f t="shared" si="28"/>
        <v>5</v>
      </c>
      <c r="B307" s="409"/>
      <c r="C307" s="578" t="s">
        <v>423</v>
      </c>
      <c r="D307" s="578"/>
      <c r="E307" s="578"/>
      <c r="F307" s="578"/>
      <c r="G307" s="578"/>
      <c r="H307" s="578"/>
      <c r="I307" s="578"/>
      <c r="J307" s="578"/>
      <c r="K307" s="578"/>
      <c r="L307" s="579"/>
      <c r="M307" s="611" t="s">
        <v>238</v>
      </c>
      <c r="N307" s="611"/>
      <c r="O307" s="611"/>
      <c r="P307" s="611"/>
      <c r="Q307" s="580"/>
      <c r="R307" s="580"/>
      <c r="S307" s="580"/>
      <c r="T307" s="580"/>
      <c r="U307" s="580"/>
      <c r="V307" s="580"/>
      <c r="W307" s="580"/>
      <c r="X307" s="580"/>
      <c r="Y307" s="371"/>
      <c r="Z307" s="386">
        <f t="shared" si="27"/>
        <v>1</v>
      </c>
      <c r="AA307" s="380">
        <v>0</v>
      </c>
      <c r="AB307" s="380">
        <v>0</v>
      </c>
      <c r="AC307" s="379">
        <v>1</v>
      </c>
      <c r="AD307" s="379">
        <v>1</v>
      </c>
      <c r="AE307" s="379">
        <v>1</v>
      </c>
      <c r="AF307" s="379"/>
      <c r="AG307" s="380">
        <v>0</v>
      </c>
      <c r="AH307" s="380">
        <v>0</v>
      </c>
      <c r="AI307" s="380">
        <v>0</v>
      </c>
      <c r="AJ307" s="380">
        <v>0</v>
      </c>
      <c r="AL307" s="366" t="s">
        <v>71</v>
      </c>
    </row>
    <row r="308" spans="1:39" s="1" customFormat="1" ht="12.75" customHeight="1" x14ac:dyDescent="0.25">
      <c r="A308" s="369">
        <f t="shared" si="28"/>
        <v>6</v>
      </c>
      <c r="B308" s="409"/>
      <c r="C308" s="578" t="s">
        <v>207</v>
      </c>
      <c r="D308" s="578"/>
      <c r="E308" s="578"/>
      <c r="F308" s="578"/>
      <c r="G308" s="578"/>
      <c r="H308" s="578"/>
      <c r="I308" s="578"/>
      <c r="J308" s="578"/>
      <c r="K308" s="578"/>
      <c r="L308" s="579"/>
      <c r="M308" s="611" t="s">
        <v>238</v>
      </c>
      <c r="N308" s="611"/>
      <c r="O308" s="611"/>
      <c r="P308" s="611"/>
      <c r="Q308" s="580"/>
      <c r="R308" s="580"/>
      <c r="S308" s="580"/>
      <c r="T308" s="580"/>
      <c r="U308" s="580"/>
      <c r="V308" s="580"/>
      <c r="W308" s="580"/>
      <c r="X308" s="580"/>
      <c r="Y308" s="371"/>
      <c r="Z308" s="386">
        <f t="shared" si="27"/>
        <v>1</v>
      </c>
      <c r="AA308" s="380">
        <v>0</v>
      </c>
      <c r="AB308" s="380">
        <v>0</v>
      </c>
      <c r="AC308" s="379">
        <v>1</v>
      </c>
      <c r="AD308" s="379">
        <v>1</v>
      </c>
      <c r="AE308" s="379">
        <v>1</v>
      </c>
      <c r="AF308" s="379"/>
      <c r="AG308" s="380">
        <v>0</v>
      </c>
      <c r="AH308" s="380">
        <v>0</v>
      </c>
      <c r="AI308" s="380">
        <v>0</v>
      </c>
      <c r="AJ308" s="380">
        <v>0</v>
      </c>
      <c r="AL308" s="366" t="s">
        <v>771</v>
      </c>
    </row>
    <row r="309" spans="1:39" s="1" customFormat="1" ht="12.75" customHeight="1" x14ac:dyDescent="0.25">
      <c r="A309" s="369">
        <f t="shared" si="28"/>
        <v>7</v>
      </c>
      <c r="B309" s="409"/>
      <c r="C309" s="578" t="s">
        <v>206</v>
      </c>
      <c r="D309" s="578"/>
      <c r="E309" s="578"/>
      <c r="F309" s="578"/>
      <c r="G309" s="578"/>
      <c r="H309" s="578"/>
      <c r="I309" s="578"/>
      <c r="J309" s="578"/>
      <c r="K309" s="578"/>
      <c r="L309" s="579"/>
      <c r="M309" s="611" t="s">
        <v>238</v>
      </c>
      <c r="N309" s="611"/>
      <c r="O309" s="611"/>
      <c r="P309" s="611"/>
      <c r="Q309" s="580"/>
      <c r="R309" s="580"/>
      <c r="S309" s="580"/>
      <c r="T309" s="580"/>
      <c r="U309" s="580"/>
      <c r="V309" s="580"/>
      <c r="W309" s="580"/>
      <c r="X309" s="580"/>
      <c r="Y309" s="371"/>
      <c r="Z309" s="386">
        <f t="shared" si="27"/>
        <v>1</v>
      </c>
      <c r="AA309" s="380">
        <v>0</v>
      </c>
      <c r="AB309" s="380">
        <v>0</v>
      </c>
      <c r="AC309" s="379">
        <v>1</v>
      </c>
      <c r="AD309" s="379">
        <v>1</v>
      </c>
      <c r="AE309" s="379">
        <v>1</v>
      </c>
      <c r="AF309" s="379"/>
      <c r="AG309" s="380">
        <v>0</v>
      </c>
      <c r="AH309" s="380">
        <v>0</v>
      </c>
      <c r="AI309" s="380">
        <v>0</v>
      </c>
      <c r="AJ309" s="380">
        <v>0</v>
      </c>
      <c r="AL309" s="366" t="s">
        <v>721</v>
      </c>
    </row>
    <row r="310" spans="1:39" s="1" customFormat="1" ht="12.75" customHeight="1" x14ac:dyDescent="0.25">
      <c r="A310" s="369">
        <f>A309+1</f>
        <v>8</v>
      </c>
      <c r="B310" s="409"/>
      <c r="C310" s="578" t="s">
        <v>212</v>
      </c>
      <c r="D310" s="578"/>
      <c r="E310" s="578"/>
      <c r="F310" s="578"/>
      <c r="G310" s="578"/>
      <c r="H310" s="578"/>
      <c r="I310" s="578"/>
      <c r="J310" s="578"/>
      <c r="K310" s="578"/>
      <c r="L310" s="579"/>
      <c r="M310" s="611" t="s">
        <v>238</v>
      </c>
      <c r="N310" s="611"/>
      <c r="O310" s="611"/>
      <c r="P310" s="611"/>
      <c r="Q310" s="580"/>
      <c r="R310" s="580"/>
      <c r="S310" s="580"/>
      <c r="T310" s="580"/>
      <c r="U310" s="580"/>
      <c r="V310" s="580"/>
      <c r="W310" s="580"/>
      <c r="X310" s="580"/>
      <c r="Y310" s="371"/>
      <c r="Z310" s="386">
        <f t="shared" si="27"/>
        <v>1</v>
      </c>
      <c r="AA310" s="380">
        <v>0</v>
      </c>
      <c r="AB310" s="380">
        <v>0</v>
      </c>
      <c r="AC310" s="379">
        <v>1</v>
      </c>
      <c r="AD310" s="379">
        <v>1</v>
      </c>
      <c r="AE310" s="379">
        <v>1</v>
      </c>
      <c r="AF310" s="379"/>
      <c r="AG310" s="380">
        <v>0</v>
      </c>
      <c r="AH310" s="380">
        <v>0</v>
      </c>
      <c r="AI310" s="380">
        <v>0</v>
      </c>
      <c r="AJ310" s="380">
        <v>0</v>
      </c>
      <c r="AL310" s="366" t="s">
        <v>238</v>
      </c>
    </row>
    <row r="311" spans="1:39" s="1" customFormat="1" ht="12.75" customHeight="1" x14ac:dyDescent="0.25">
      <c r="A311" s="369">
        <f>A310+1</f>
        <v>9</v>
      </c>
      <c r="B311" s="402"/>
      <c r="C311" s="578" t="s">
        <v>426</v>
      </c>
      <c r="D311" s="578"/>
      <c r="E311" s="578"/>
      <c r="F311" s="578"/>
      <c r="G311" s="578"/>
      <c r="H311" s="578"/>
      <c r="I311" s="578"/>
      <c r="J311" s="578"/>
      <c r="K311" s="578"/>
      <c r="L311" s="579"/>
      <c r="M311" s="360" t="s">
        <v>238</v>
      </c>
      <c r="N311" s="631" t="s">
        <v>72</v>
      </c>
      <c r="O311" s="615"/>
      <c r="P311" s="613"/>
      <c r="Q311" s="360" t="s">
        <v>238</v>
      </c>
      <c r="R311" s="631" t="s">
        <v>776</v>
      </c>
      <c r="S311" s="615"/>
      <c r="T311" s="613"/>
      <c r="U311" s="360" t="s">
        <v>238</v>
      </c>
      <c r="V311" s="644"/>
      <c r="W311" s="645"/>
      <c r="X311" s="646"/>
      <c r="Y311" s="371"/>
      <c r="Z311" s="386">
        <f t="shared" si="27"/>
        <v>1</v>
      </c>
      <c r="AA311" s="380">
        <v>0</v>
      </c>
      <c r="AB311" s="380">
        <v>0</v>
      </c>
      <c r="AC311" s="379">
        <v>1</v>
      </c>
      <c r="AD311" s="379">
        <v>1</v>
      </c>
      <c r="AE311" s="379">
        <v>1</v>
      </c>
      <c r="AF311" s="379"/>
      <c r="AG311" s="380">
        <v>0</v>
      </c>
      <c r="AH311" s="380">
        <v>0</v>
      </c>
      <c r="AI311" s="380">
        <v>0</v>
      </c>
      <c r="AJ311" s="380">
        <v>0</v>
      </c>
      <c r="AL311" s="366" t="s">
        <v>73</v>
      </c>
    </row>
    <row r="312" spans="1:39" s="1" customFormat="1" ht="12.75" customHeight="1" x14ac:dyDescent="0.25">
      <c r="A312" s="369">
        <f>A311+1</f>
        <v>10</v>
      </c>
      <c r="B312" s="402"/>
      <c r="C312" s="578" t="s">
        <v>213</v>
      </c>
      <c r="D312" s="578"/>
      <c r="E312" s="578"/>
      <c r="F312" s="578"/>
      <c r="G312" s="578"/>
      <c r="H312" s="578"/>
      <c r="I312" s="578"/>
      <c r="J312" s="578"/>
      <c r="K312" s="578"/>
      <c r="L312" s="579"/>
      <c r="M312" s="360" t="s">
        <v>238</v>
      </c>
      <c r="N312" s="581" t="s">
        <v>469</v>
      </c>
      <c r="O312" s="582"/>
      <c r="P312" s="575"/>
      <c r="Q312" s="576"/>
      <c r="R312" s="576"/>
      <c r="S312" s="576"/>
      <c r="T312" s="576"/>
      <c r="U312" s="576"/>
      <c r="V312" s="576"/>
      <c r="W312" s="576"/>
      <c r="X312" s="577"/>
      <c r="Y312" s="371"/>
      <c r="Z312" s="386">
        <f t="shared" si="27"/>
        <v>1</v>
      </c>
      <c r="AA312" s="380">
        <v>0</v>
      </c>
      <c r="AB312" s="380">
        <v>0</v>
      </c>
      <c r="AC312" s="379">
        <v>1</v>
      </c>
      <c r="AD312" s="379">
        <v>1</v>
      </c>
      <c r="AE312" s="379">
        <v>1</v>
      </c>
      <c r="AF312" s="379"/>
      <c r="AG312" s="380">
        <v>0</v>
      </c>
      <c r="AH312" s="380">
        <v>0</v>
      </c>
      <c r="AI312" s="380">
        <v>0</v>
      </c>
      <c r="AJ312" s="380">
        <v>0</v>
      </c>
      <c r="AL312" s="366" t="s">
        <v>422</v>
      </c>
    </row>
    <row r="313" spans="1:39" s="1" customFormat="1" ht="12.75" customHeight="1" x14ac:dyDescent="0.25">
      <c r="A313" s="369"/>
      <c r="B313" s="371"/>
      <c r="C313" s="2"/>
      <c r="D313" s="2"/>
      <c r="E313" s="2"/>
      <c r="F313" s="2"/>
      <c r="G313" s="2"/>
      <c r="H313" s="2"/>
      <c r="I313" s="2"/>
      <c r="J313" s="2"/>
      <c r="K313" s="2"/>
      <c r="L313" s="2"/>
      <c r="M313" s="2"/>
      <c r="N313" s="2"/>
      <c r="O313" s="2"/>
      <c r="P313" s="2"/>
      <c r="Q313" s="2"/>
      <c r="R313" s="2"/>
      <c r="S313" s="2"/>
      <c r="T313" s="2"/>
      <c r="U313" s="2"/>
      <c r="V313" s="2"/>
      <c r="W313" s="2"/>
      <c r="X313" s="2"/>
      <c r="Y313" s="371"/>
      <c r="Z313" s="386" t="s">
        <v>2</v>
      </c>
      <c r="AA313" s="380">
        <v>0</v>
      </c>
      <c r="AB313" s="380" t="s">
        <v>2</v>
      </c>
      <c r="AC313" s="379" t="s">
        <v>2</v>
      </c>
      <c r="AD313" s="379" t="s">
        <v>2</v>
      </c>
      <c r="AE313" s="379" t="s">
        <v>2</v>
      </c>
      <c r="AF313" s="379"/>
      <c r="AG313" s="380" t="s">
        <v>2</v>
      </c>
      <c r="AH313" s="380" t="s">
        <v>2</v>
      </c>
      <c r="AI313" s="380" t="s">
        <v>2</v>
      </c>
      <c r="AJ313" s="380" t="s">
        <v>2</v>
      </c>
      <c r="AL313" s="366" t="s">
        <v>721</v>
      </c>
    </row>
    <row r="314" spans="1:39" s="543" customFormat="1" ht="12.75" customHeight="1" x14ac:dyDescent="0.25">
      <c r="A314" s="540"/>
      <c r="B314" s="541" t="s">
        <v>709</v>
      </c>
      <c r="C314" s="637" t="s">
        <v>367</v>
      </c>
      <c r="D314" s="637"/>
      <c r="E314" s="637"/>
      <c r="F314" s="637"/>
      <c r="G314" s="637"/>
      <c r="H314" s="637"/>
      <c r="I314" s="637"/>
      <c r="J314" s="637"/>
      <c r="K314" s="637"/>
      <c r="L314" s="637"/>
      <c r="M314" s="541"/>
      <c r="N314" s="637"/>
      <c r="O314" s="637"/>
      <c r="P314" s="637"/>
      <c r="Q314" s="637"/>
      <c r="R314" s="637"/>
      <c r="S314" s="637"/>
      <c r="T314" s="637"/>
      <c r="U314" s="637"/>
      <c r="V314" s="637"/>
      <c r="W314" s="637"/>
      <c r="X314" s="541"/>
      <c r="Y314" s="545"/>
      <c r="Z314" s="546" t="s">
        <v>2</v>
      </c>
      <c r="AA314" s="547">
        <v>0</v>
      </c>
      <c r="AB314" s="547" t="s">
        <v>2</v>
      </c>
      <c r="AC314" s="548" t="s">
        <v>2</v>
      </c>
      <c r="AD314" s="548" t="s">
        <v>2</v>
      </c>
      <c r="AE314" s="548" t="s">
        <v>2</v>
      </c>
      <c r="AF314" s="548"/>
      <c r="AG314" s="547" t="s">
        <v>2</v>
      </c>
      <c r="AH314" s="547" t="s">
        <v>2</v>
      </c>
      <c r="AI314" s="547" t="s">
        <v>2</v>
      </c>
      <c r="AJ314" s="547" t="s">
        <v>2</v>
      </c>
      <c r="AL314" s="550" t="s">
        <v>238</v>
      </c>
      <c r="AM314" s="549"/>
    </row>
    <row r="315" spans="1:39" s="46" customFormat="1" ht="12.75" customHeight="1" x14ac:dyDescent="0.25">
      <c r="A315" s="48"/>
      <c r="B315" s="347"/>
      <c r="C315" s="364"/>
      <c r="D315" s="364"/>
      <c r="E315" s="364"/>
      <c r="F315" s="364"/>
      <c r="G315" s="364"/>
      <c r="H315" s="364"/>
      <c r="I315" s="364"/>
      <c r="J315" s="364"/>
      <c r="K315" s="364"/>
      <c r="L315" s="364"/>
      <c r="M315" s="347"/>
      <c r="N315" s="364"/>
      <c r="O315" s="364"/>
      <c r="P315" s="364"/>
      <c r="Q315" s="364"/>
      <c r="R315" s="364"/>
      <c r="S315" s="364"/>
      <c r="T315" s="364"/>
      <c r="U315" s="364"/>
      <c r="V315" s="364"/>
      <c r="W315" s="364"/>
      <c r="X315" s="347"/>
      <c r="Y315" s="45"/>
      <c r="Z315" s="386" t="s">
        <v>2</v>
      </c>
      <c r="AA315" s="380">
        <v>0</v>
      </c>
      <c r="AB315" s="380" t="s">
        <v>2</v>
      </c>
      <c r="AC315" s="379" t="s">
        <v>2</v>
      </c>
      <c r="AD315" s="379" t="s">
        <v>2</v>
      </c>
      <c r="AE315" s="379" t="s">
        <v>2</v>
      </c>
      <c r="AF315" s="379"/>
      <c r="AG315" s="380" t="s">
        <v>2</v>
      </c>
      <c r="AH315" s="380" t="s">
        <v>2</v>
      </c>
      <c r="AI315" s="380" t="s">
        <v>2</v>
      </c>
      <c r="AJ315" s="380" t="s">
        <v>2</v>
      </c>
      <c r="AL315" s="366" t="s">
        <v>65</v>
      </c>
    </row>
    <row r="316" spans="1:39" s="1" customFormat="1" ht="12.75" customHeight="1" x14ac:dyDescent="0.25">
      <c r="A316" s="369">
        <v>1</v>
      </c>
      <c r="B316" s="402"/>
      <c r="C316" s="591" t="s">
        <v>436</v>
      </c>
      <c r="D316" s="591"/>
      <c r="E316" s="591"/>
      <c r="F316" s="591"/>
      <c r="G316" s="591"/>
      <c r="H316" s="591"/>
      <c r="I316" s="591"/>
      <c r="J316" s="591"/>
      <c r="K316" s="591"/>
      <c r="L316" s="592"/>
      <c r="M316" s="611" t="s">
        <v>238</v>
      </c>
      <c r="N316" s="611"/>
      <c r="O316" s="611"/>
      <c r="P316" s="611"/>
      <c r="Q316" s="580"/>
      <c r="R316" s="580"/>
      <c r="S316" s="580"/>
      <c r="T316" s="580"/>
      <c r="U316" s="580"/>
      <c r="V316" s="580"/>
      <c r="W316" s="580"/>
      <c r="X316" s="580"/>
      <c r="Y316" s="371"/>
      <c r="Z316" s="386">
        <f t="shared" ref="Z316:Z331" si="29">IF(Z$3=0,0,IF(Z$3=1,AA316,IF(Z$3=2,AB316,IF(Z$3=3,AC316,IF(Z$3=4,AD316,IF(Z$3=5,AE316,IF(Z$3=6,AG316,IF(Z$3=7,AH316,IF(Z$3=8,AI316,IF(Z$3=9,AJ316,0))))))))))</f>
        <v>1</v>
      </c>
      <c r="AA316" s="380">
        <v>0</v>
      </c>
      <c r="AB316" s="379">
        <v>1</v>
      </c>
      <c r="AC316" s="379">
        <v>1</v>
      </c>
      <c r="AD316" s="379">
        <v>1</v>
      </c>
      <c r="AE316" s="379">
        <v>1</v>
      </c>
      <c r="AF316" s="379"/>
      <c r="AG316" s="379">
        <v>1</v>
      </c>
      <c r="AH316" s="379">
        <v>1</v>
      </c>
      <c r="AI316" s="379">
        <v>1</v>
      </c>
      <c r="AJ316" s="379">
        <v>1</v>
      </c>
      <c r="AL316" s="366" t="s">
        <v>66</v>
      </c>
    </row>
    <row r="317" spans="1:39" s="1" customFormat="1" ht="12.75" customHeight="1" x14ac:dyDescent="0.25">
      <c r="A317" s="369">
        <f t="shared" ref="A317:A331" si="30">A316+1</f>
        <v>2</v>
      </c>
      <c r="B317" s="402"/>
      <c r="C317" s="591" t="s">
        <v>437</v>
      </c>
      <c r="D317" s="591"/>
      <c r="E317" s="591"/>
      <c r="F317" s="591"/>
      <c r="G317" s="591"/>
      <c r="H317" s="591"/>
      <c r="I317" s="591"/>
      <c r="J317" s="591"/>
      <c r="K317" s="591"/>
      <c r="L317" s="592"/>
      <c r="M317" s="611" t="s">
        <v>238</v>
      </c>
      <c r="N317" s="611"/>
      <c r="O317" s="611"/>
      <c r="P317" s="611"/>
      <c r="Q317" s="580"/>
      <c r="R317" s="580"/>
      <c r="S317" s="580"/>
      <c r="T317" s="580"/>
      <c r="U317" s="580"/>
      <c r="V317" s="580"/>
      <c r="W317" s="580"/>
      <c r="X317" s="580"/>
      <c r="Y317" s="371"/>
      <c r="Z317" s="386">
        <f t="shared" si="29"/>
        <v>1</v>
      </c>
      <c r="AA317" s="380">
        <v>0</v>
      </c>
      <c r="AB317" s="379">
        <v>1</v>
      </c>
      <c r="AC317" s="379">
        <v>1</v>
      </c>
      <c r="AD317" s="379">
        <v>1</v>
      </c>
      <c r="AE317" s="379">
        <v>1</v>
      </c>
      <c r="AF317" s="379"/>
      <c r="AG317" s="379">
        <v>1</v>
      </c>
      <c r="AH317" s="379">
        <v>1</v>
      </c>
      <c r="AI317" s="379">
        <v>1</v>
      </c>
      <c r="AJ317" s="379">
        <v>1</v>
      </c>
      <c r="AL317" s="366" t="s">
        <v>721</v>
      </c>
    </row>
    <row r="318" spans="1:39" s="1" customFormat="1" ht="12.75" customHeight="1" x14ac:dyDescent="0.25">
      <c r="A318" s="369">
        <f t="shared" si="30"/>
        <v>3</v>
      </c>
      <c r="B318" s="402"/>
      <c r="C318" s="591" t="s">
        <v>431</v>
      </c>
      <c r="D318" s="591"/>
      <c r="E318" s="591"/>
      <c r="F318" s="591"/>
      <c r="G318" s="591"/>
      <c r="H318" s="591"/>
      <c r="I318" s="591"/>
      <c r="J318" s="591"/>
      <c r="K318" s="591"/>
      <c r="L318" s="592"/>
      <c r="M318" s="611" t="s">
        <v>238</v>
      </c>
      <c r="N318" s="611"/>
      <c r="O318" s="611"/>
      <c r="P318" s="611"/>
      <c r="Q318" s="580"/>
      <c r="R318" s="580"/>
      <c r="S318" s="580"/>
      <c r="T318" s="580"/>
      <c r="U318" s="580"/>
      <c r="V318" s="580"/>
      <c r="W318" s="580"/>
      <c r="X318" s="580"/>
      <c r="Y318" s="371"/>
      <c r="Z318" s="386">
        <f t="shared" si="29"/>
        <v>1</v>
      </c>
      <c r="AA318" s="380">
        <v>0</v>
      </c>
      <c r="AB318" s="379">
        <v>1</v>
      </c>
      <c r="AC318" s="379">
        <v>1</v>
      </c>
      <c r="AD318" s="379">
        <v>1</v>
      </c>
      <c r="AE318" s="379">
        <v>1</v>
      </c>
      <c r="AF318" s="379"/>
      <c r="AG318" s="379">
        <v>1</v>
      </c>
      <c r="AH318" s="379">
        <v>1</v>
      </c>
      <c r="AI318" s="379">
        <v>1</v>
      </c>
      <c r="AJ318" s="379">
        <v>1</v>
      </c>
      <c r="AL318" s="366" t="s">
        <v>238</v>
      </c>
    </row>
    <row r="319" spans="1:39" s="1" customFormat="1" ht="12.75" customHeight="1" x14ac:dyDescent="0.25">
      <c r="A319" s="369">
        <f t="shared" si="30"/>
        <v>4</v>
      </c>
      <c r="B319" s="402"/>
      <c r="C319" s="591" t="s">
        <v>432</v>
      </c>
      <c r="D319" s="591"/>
      <c r="E319" s="591"/>
      <c r="F319" s="591"/>
      <c r="G319" s="591"/>
      <c r="H319" s="591"/>
      <c r="I319" s="591"/>
      <c r="J319" s="591"/>
      <c r="K319" s="591"/>
      <c r="L319" s="592"/>
      <c r="M319" s="611" t="s">
        <v>238</v>
      </c>
      <c r="N319" s="611"/>
      <c r="O319" s="611"/>
      <c r="P319" s="611"/>
      <c r="Q319" s="580"/>
      <c r="R319" s="580"/>
      <c r="S319" s="580"/>
      <c r="T319" s="580"/>
      <c r="U319" s="580"/>
      <c r="V319" s="580"/>
      <c r="W319" s="580"/>
      <c r="X319" s="580"/>
      <c r="Y319" s="371"/>
      <c r="Z319" s="386">
        <f t="shared" si="29"/>
        <v>1</v>
      </c>
      <c r="AA319" s="380">
        <v>0</v>
      </c>
      <c r="AB319" s="379">
        <v>1</v>
      </c>
      <c r="AC319" s="379">
        <v>1</v>
      </c>
      <c r="AD319" s="379">
        <v>1</v>
      </c>
      <c r="AE319" s="379">
        <v>1</v>
      </c>
      <c r="AF319" s="379"/>
      <c r="AG319" s="379">
        <v>1</v>
      </c>
      <c r="AH319" s="379">
        <v>1</v>
      </c>
      <c r="AI319" s="379">
        <v>1</v>
      </c>
      <c r="AJ319" s="379">
        <v>1</v>
      </c>
      <c r="AL319" s="366" t="s">
        <v>425</v>
      </c>
    </row>
    <row r="320" spans="1:39" s="1" customFormat="1" ht="12.75" customHeight="1" x14ac:dyDescent="0.25">
      <c r="A320" s="369">
        <f t="shared" si="30"/>
        <v>5</v>
      </c>
      <c r="B320" s="402"/>
      <c r="C320" s="591" t="s">
        <v>430</v>
      </c>
      <c r="D320" s="591"/>
      <c r="E320" s="591"/>
      <c r="F320" s="591"/>
      <c r="G320" s="591"/>
      <c r="H320" s="591"/>
      <c r="I320" s="591"/>
      <c r="J320" s="591"/>
      <c r="K320" s="591"/>
      <c r="L320" s="592"/>
      <c r="M320" s="611" t="s">
        <v>238</v>
      </c>
      <c r="N320" s="611"/>
      <c r="O320" s="611"/>
      <c r="P320" s="611"/>
      <c r="Q320" s="580"/>
      <c r="R320" s="580"/>
      <c r="S320" s="580"/>
      <c r="T320" s="580"/>
      <c r="U320" s="580"/>
      <c r="V320" s="580"/>
      <c r="W320" s="580"/>
      <c r="X320" s="580"/>
      <c r="Y320" s="371"/>
      <c r="Z320" s="386">
        <f t="shared" si="29"/>
        <v>1</v>
      </c>
      <c r="AA320" s="380">
        <v>0</v>
      </c>
      <c r="AB320" s="379">
        <v>1</v>
      </c>
      <c r="AC320" s="379">
        <v>1</v>
      </c>
      <c r="AD320" s="379">
        <v>1</v>
      </c>
      <c r="AE320" s="379">
        <v>1</v>
      </c>
      <c r="AF320" s="379"/>
      <c r="AG320" s="379">
        <v>1</v>
      </c>
      <c r="AH320" s="379">
        <v>1</v>
      </c>
      <c r="AI320" s="379">
        <v>1</v>
      </c>
      <c r="AJ320" s="379">
        <v>1</v>
      </c>
      <c r="AL320" s="366" t="s">
        <v>772</v>
      </c>
    </row>
    <row r="321" spans="1:38" s="1" customFormat="1" ht="12.75" customHeight="1" x14ac:dyDescent="0.25">
      <c r="A321" s="355">
        <f>A320+1</f>
        <v>6</v>
      </c>
      <c r="B321" s="402"/>
      <c r="C321" s="612" t="s">
        <v>434</v>
      </c>
      <c r="D321" s="612"/>
      <c r="E321" s="612"/>
      <c r="F321" s="612"/>
      <c r="G321" s="612"/>
      <c r="H321" s="612"/>
      <c r="I321" s="612"/>
      <c r="J321" s="612"/>
      <c r="K321" s="612"/>
      <c r="L321" s="613"/>
      <c r="M321" s="580"/>
      <c r="N321" s="580"/>
      <c r="O321" s="580"/>
      <c r="P321" s="580"/>
      <c r="Q321" s="580"/>
      <c r="R321" s="580"/>
      <c r="S321" s="580"/>
      <c r="T321" s="580"/>
      <c r="U321" s="15"/>
      <c r="V321" s="15"/>
      <c r="W321" s="2"/>
      <c r="X321" s="2"/>
      <c r="Y321" s="371"/>
      <c r="Z321" s="386">
        <f t="shared" si="29"/>
        <v>1</v>
      </c>
      <c r="AA321" s="380">
        <v>0</v>
      </c>
      <c r="AB321" s="380">
        <v>0</v>
      </c>
      <c r="AC321" s="380">
        <v>0</v>
      </c>
      <c r="AD321" s="379">
        <v>1</v>
      </c>
      <c r="AE321" s="379">
        <v>1</v>
      </c>
      <c r="AF321" s="379"/>
      <c r="AG321" s="380">
        <v>0</v>
      </c>
      <c r="AH321" s="380">
        <v>0</v>
      </c>
      <c r="AI321" s="379">
        <v>1</v>
      </c>
      <c r="AJ321" s="379">
        <v>1</v>
      </c>
      <c r="AL321" s="366" t="s">
        <v>721</v>
      </c>
    </row>
    <row r="322" spans="1:38" s="1" customFormat="1" ht="12.75" customHeight="1" x14ac:dyDescent="0.25">
      <c r="A322" s="355">
        <f t="shared" si="30"/>
        <v>7</v>
      </c>
      <c r="B322" s="402"/>
      <c r="C322" s="615" t="s">
        <v>435</v>
      </c>
      <c r="D322" s="615"/>
      <c r="E322" s="615"/>
      <c r="F322" s="615"/>
      <c r="G322" s="615"/>
      <c r="H322" s="615"/>
      <c r="I322" s="615"/>
      <c r="J322" s="615"/>
      <c r="K322" s="615"/>
      <c r="L322" s="613"/>
      <c r="M322" s="580"/>
      <c r="N322" s="580"/>
      <c r="O322" s="580"/>
      <c r="P322" s="580"/>
      <c r="Q322" s="580"/>
      <c r="R322" s="580"/>
      <c r="S322" s="580"/>
      <c r="T322" s="580"/>
      <c r="U322" s="360" t="s">
        <v>238</v>
      </c>
      <c r="V322" s="2"/>
      <c r="W322" s="2"/>
      <c r="X322" s="2"/>
      <c r="Y322" s="371"/>
      <c r="Z322" s="386">
        <f t="shared" si="29"/>
        <v>1</v>
      </c>
      <c r="AA322" s="380">
        <v>0</v>
      </c>
      <c r="AB322" s="380">
        <v>0</v>
      </c>
      <c r="AC322" s="380">
        <v>0</v>
      </c>
      <c r="AD322" s="379">
        <v>1</v>
      </c>
      <c r="AE322" s="379">
        <v>1</v>
      </c>
      <c r="AF322" s="379"/>
      <c r="AG322" s="380">
        <v>0</v>
      </c>
      <c r="AH322" s="380">
        <v>0</v>
      </c>
      <c r="AI322" s="379">
        <v>1</v>
      </c>
      <c r="AJ322" s="379">
        <v>1</v>
      </c>
      <c r="AL322" s="366" t="s">
        <v>238</v>
      </c>
    </row>
    <row r="323" spans="1:38" s="1" customFormat="1" ht="12.75" customHeight="1" x14ac:dyDescent="0.25">
      <c r="A323" s="355">
        <f t="shared" si="30"/>
        <v>8</v>
      </c>
      <c r="B323" s="402"/>
      <c r="C323" s="615" t="s">
        <v>386</v>
      </c>
      <c r="D323" s="615"/>
      <c r="E323" s="615"/>
      <c r="F323" s="615"/>
      <c r="G323" s="615"/>
      <c r="H323" s="615"/>
      <c r="I323" s="615"/>
      <c r="J323" s="615"/>
      <c r="K323" s="615"/>
      <c r="L323" s="613"/>
      <c r="M323" s="580"/>
      <c r="N323" s="580"/>
      <c r="O323" s="580"/>
      <c r="P323" s="580"/>
      <c r="Q323" s="580"/>
      <c r="R323" s="580"/>
      <c r="S323" s="580"/>
      <c r="T323" s="580"/>
      <c r="U323" s="360" t="s">
        <v>238</v>
      </c>
      <c r="V323" s="2"/>
      <c r="W323" s="2"/>
      <c r="X323" s="2"/>
      <c r="Y323" s="371"/>
      <c r="Z323" s="386">
        <f t="shared" si="29"/>
        <v>1</v>
      </c>
      <c r="AA323" s="380">
        <v>0</v>
      </c>
      <c r="AB323" s="380">
        <v>0</v>
      </c>
      <c r="AC323" s="380">
        <v>0</v>
      </c>
      <c r="AD323" s="379">
        <v>1</v>
      </c>
      <c r="AE323" s="379">
        <v>1</v>
      </c>
      <c r="AF323" s="379"/>
      <c r="AG323" s="380">
        <v>0</v>
      </c>
      <c r="AH323" s="380">
        <v>0</v>
      </c>
      <c r="AI323" s="379">
        <v>1</v>
      </c>
      <c r="AJ323" s="379">
        <v>1</v>
      </c>
      <c r="AL323" s="366" t="s">
        <v>208</v>
      </c>
    </row>
    <row r="324" spans="1:38" s="1" customFormat="1" ht="12.75" customHeight="1" x14ac:dyDescent="0.25">
      <c r="A324" s="369">
        <f t="shared" si="30"/>
        <v>9</v>
      </c>
      <c r="B324" s="402"/>
      <c r="C324" s="578" t="s">
        <v>301</v>
      </c>
      <c r="D324" s="578"/>
      <c r="E324" s="578"/>
      <c r="F324" s="578"/>
      <c r="G324" s="578"/>
      <c r="H324" s="578"/>
      <c r="I324" s="578"/>
      <c r="J324" s="578"/>
      <c r="K324" s="578"/>
      <c r="L324" s="578"/>
      <c r="M324" s="659" t="s">
        <v>302</v>
      </c>
      <c r="N324" s="660"/>
      <c r="O324" s="650"/>
      <c r="P324" s="651"/>
      <c r="Q324" s="634" t="s">
        <v>441</v>
      </c>
      <c r="R324" s="636"/>
      <c r="S324" s="575"/>
      <c r="T324" s="577"/>
      <c r="U324" s="587" t="s">
        <v>442</v>
      </c>
      <c r="V324" s="588"/>
      <c r="W324" s="575"/>
      <c r="X324" s="577"/>
      <c r="Y324" s="371"/>
      <c r="Z324" s="386">
        <f t="shared" si="29"/>
        <v>1</v>
      </c>
      <c r="AA324" s="380">
        <v>0</v>
      </c>
      <c r="AB324" s="380">
        <v>0</v>
      </c>
      <c r="AC324" s="379">
        <v>1</v>
      </c>
      <c r="AD324" s="379">
        <v>1</v>
      </c>
      <c r="AE324" s="379">
        <v>1</v>
      </c>
      <c r="AF324" s="379"/>
      <c r="AG324" s="380">
        <v>0</v>
      </c>
      <c r="AH324" s="379">
        <v>1</v>
      </c>
      <c r="AI324" s="379">
        <v>1</v>
      </c>
      <c r="AJ324" s="379">
        <v>1</v>
      </c>
      <c r="AL324" s="366" t="s">
        <v>209</v>
      </c>
    </row>
    <row r="325" spans="1:38" s="1" customFormat="1" ht="12.75" customHeight="1" x14ac:dyDescent="0.25">
      <c r="A325" s="369">
        <f t="shared" si="30"/>
        <v>10</v>
      </c>
      <c r="B325" s="402"/>
      <c r="C325" s="578" t="s">
        <v>438</v>
      </c>
      <c r="D325" s="578"/>
      <c r="E325" s="578"/>
      <c r="F325" s="578"/>
      <c r="G325" s="578"/>
      <c r="H325" s="578"/>
      <c r="I325" s="578"/>
      <c r="J325" s="578"/>
      <c r="K325" s="578"/>
      <c r="L325" s="662"/>
      <c r="M325" s="648" t="s">
        <v>302</v>
      </c>
      <c r="N325" s="649"/>
      <c r="O325" s="650"/>
      <c r="P325" s="651"/>
      <c r="Q325" s="581" t="s">
        <v>441</v>
      </c>
      <c r="R325" s="583"/>
      <c r="S325" s="575"/>
      <c r="T325" s="577"/>
      <c r="U325" s="587" t="s">
        <v>442</v>
      </c>
      <c r="V325" s="588"/>
      <c r="W325" s="575"/>
      <c r="X325" s="577"/>
      <c r="Y325" s="371"/>
      <c r="Z325" s="386">
        <f t="shared" si="29"/>
        <v>1</v>
      </c>
      <c r="AA325" s="380">
        <v>0</v>
      </c>
      <c r="AB325" s="380">
        <v>0</v>
      </c>
      <c r="AC325" s="379">
        <v>1</v>
      </c>
      <c r="AD325" s="379">
        <v>1</v>
      </c>
      <c r="AE325" s="379">
        <v>1</v>
      </c>
      <c r="AF325" s="379"/>
      <c r="AG325" s="380">
        <v>0</v>
      </c>
      <c r="AH325" s="379">
        <v>1</v>
      </c>
      <c r="AI325" s="379">
        <v>1</v>
      </c>
      <c r="AJ325" s="379">
        <v>1</v>
      </c>
      <c r="AL325" s="366" t="s">
        <v>210</v>
      </c>
    </row>
    <row r="326" spans="1:38" s="1" customFormat="1" ht="12.75" customHeight="1" x14ac:dyDescent="0.25">
      <c r="A326" s="369">
        <f t="shared" si="30"/>
        <v>11</v>
      </c>
      <c r="B326" s="402"/>
      <c r="C326" s="578" t="s">
        <v>439</v>
      </c>
      <c r="D326" s="578"/>
      <c r="E326" s="578"/>
      <c r="F326" s="578"/>
      <c r="G326" s="578"/>
      <c r="H326" s="578"/>
      <c r="I326" s="578"/>
      <c r="J326" s="578"/>
      <c r="K326" s="578"/>
      <c r="L326" s="662"/>
      <c r="M326" s="663" t="s">
        <v>302</v>
      </c>
      <c r="N326" s="664"/>
      <c r="O326" s="650"/>
      <c r="P326" s="651"/>
      <c r="Q326" s="652" t="s">
        <v>440</v>
      </c>
      <c r="R326" s="653"/>
      <c r="S326" s="575"/>
      <c r="T326" s="577"/>
      <c r="U326" s="589" t="s">
        <v>443</v>
      </c>
      <c r="V326" s="590"/>
      <c r="W326" s="575"/>
      <c r="X326" s="577"/>
      <c r="Y326" s="371"/>
      <c r="Z326" s="386">
        <f t="shared" si="29"/>
        <v>1</v>
      </c>
      <c r="AA326" s="380">
        <v>0</v>
      </c>
      <c r="AB326" s="380">
        <v>0</v>
      </c>
      <c r="AC326" s="379">
        <v>1</v>
      </c>
      <c r="AD326" s="379">
        <v>1</v>
      </c>
      <c r="AE326" s="379">
        <v>1</v>
      </c>
      <c r="AF326" s="379"/>
      <c r="AG326" s="380">
        <v>0</v>
      </c>
      <c r="AH326" s="379">
        <v>1</v>
      </c>
      <c r="AI326" s="379">
        <v>1</v>
      </c>
      <c r="AJ326" s="379">
        <v>1</v>
      </c>
      <c r="AL326" s="366" t="s">
        <v>211</v>
      </c>
    </row>
    <row r="327" spans="1:38" s="1" customFormat="1" ht="12.75" customHeight="1" x14ac:dyDescent="0.25"/>
    <row r="328" spans="1:38" s="1" customFormat="1" ht="12.75" customHeight="1" x14ac:dyDescent="0.25"/>
    <row r="329" spans="1:38" s="1" customFormat="1" ht="12.75" customHeight="1" x14ac:dyDescent="0.25">
      <c r="A329" s="369">
        <f>A326+1</f>
        <v>12</v>
      </c>
      <c r="B329" s="402"/>
      <c r="C329" s="578" t="s">
        <v>468</v>
      </c>
      <c r="D329" s="578"/>
      <c r="E329" s="578"/>
      <c r="F329" s="578"/>
      <c r="G329" s="578"/>
      <c r="H329" s="578"/>
      <c r="I329" s="578"/>
      <c r="J329" s="578"/>
      <c r="K329" s="578"/>
      <c r="L329" s="579"/>
      <c r="M329" s="575"/>
      <c r="N329" s="576"/>
      <c r="O329" s="576"/>
      <c r="P329" s="576"/>
      <c r="Q329" s="576"/>
      <c r="R329" s="576"/>
      <c r="S329" s="576"/>
      <c r="T329" s="576"/>
      <c r="U329" s="576"/>
      <c r="V329" s="576"/>
      <c r="W329" s="576"/>
      <c r="X329" s="577"/>
      <c r="Y329" s="371"/>
      <c r="Z329" s="386">
        <f t="shared" si="29"/>
        <v>1</v>
      </c>
      <c r="AA329" s="380">
        <v>0</v>
      </c>
      <c r="AB329" s="380">
        <v>0</v>
      </c>
      <c r="AC329" s="379">
        <v>1</v>
      </c>
      <c r="AD329" s="379">
        <v>1</v>
      </c>
      <c r="AE329" s="379">
        <v>1</v>
      </c>
      <c r="AF329" s="379"/>
      <c r="AG329" s="380">
        <v>0</v>
      </c>
      <c r="AH329" s="379">
        <v>1</v>
      </c>
      <c r="AI329" s="379">
        <v>1</v>
      </c>
      <c r="AJ329" s="379">
        <v>1</v>
      </c>
      <c r="AL329" s="366" t="s">
        <v>753</v>
      </c>
    </row>
    <row r="330" spans="1:38" s="1" customFormat="1" ht="12.75" customHeight="1" x14ac:dyDescent="0.25">
      <c r="A330" s="369">
        <f t="shared" si="30"/>
        <v>13</v>
      </c>
      <c r="B330" s="402"/>
      <c r="C330" s="578" t="s">
        <v>187</v>
      </c>
      <c r="D330" s="578"/>
      <c r="E330" s="578"/>
      <c r="F330" s="578"/>
      <c r="G330" s="578"/>
      <c r="H330" s="578"/>
      <c r="I330" s="578"/>
      <c r="J330" s="578"/>
      <c r="K330" s="578"/>
      <c r="L330" s="578"/>
      <c r="M330" s="682" t="s">
        <v>299</v>
      </c>
      <c r="N330" s="683"/>
      <c r="O330" s="605"/>
      <c r="P330" s="606"/>
      <c r="Q330" s="581" t="s">
        <v>300</v>
      </c>
      <c r="R330" s="583"/>
      <c r="S330" s="627"/>
      <c r="T330" s="628"/>
      <c r="W330" s="363"/>
      <c r="X330" s="363"/>
      <c r="Y330" s="371"/>
      <c r="Z330" s="386">
        <f t="shared" si="29"/>
        <v>1</v>
      </c>
      <c r="AA330" s="380">
        <v>0</v>
      </c>
      <c r="AB330" s="380">
        <v>0</v>
      </c>
      <c r="AC330" s="379">
        <v>1</v>
      </c>
      <c r="AD330" s="379">
        <v>1</v>
      </c>
      <c r="AE330" s="379">
        <v>1</v>
      </c>
      <c r="AF330" s="379"/>
      <c r="AG330" s="380">
        <v>0</v>
      </c>
      <c r="AH330" s="379">
        <v>1</v>
      </c>
      <c r="AI330" s="379">
        <v>1</v>
      </c>
      <c r="AJ330" s="379">
        <v>1</v>
      </c>
      <c r="AL330" s="366" t="s">
        <v>238</v>
      </c>
    </row>
    <row r="331" spans="1:38" s="1" customFormat="1" ht="12.75" customHeight="1" x14ac:dyDescent="0.25">
      <c r="A331" s="369">
        <f t="shared" si="30"/>
        <v>14</v>
      </c>
      <c r="B331" s="402"/>
      <c r="C331" s="578" t="s">
        <v>371</v>
      </c>
      <c r="D331" s="578"/>
      <c r="E331" s="578"/>
      <c r="F331" s="578"/>
      <c r="G331" s="578"/>
      <c r="H331" s="578"/>
      <c r="I331" s="578"/>
      <c r="J331" s="578"/>
      <c r="K331" s="578"/>
      <c r="L331" s="579"/>
      <c r="M331" s="680">
        <f>M100</f>
        <v>0</v>
      </c>
      <c r="N331" s="681"/>
      <c r="O331" s="634" t="s">
        <v>444</v>
      </c>
      <c r="P331" s="635"/>
      <c r="Q331" s="575"/>
      <c r="R331" s="576"/>
      <c r="S331" s="576"/>
      <c r="T331" s="576"/>
      <c r="U331" s="576"/>
      <c r="V331" s="576"/>
      <c r="W331" s="576"/>
      <c r="X331" s="577"/>
      <c r="Y331" s="371"/>
      <c r="Z331" s="386">
        <f t="shared" si="29"/>
        <v>1</v>
      </c>
      <c r="AA331" s="380">
        <v>0</v>
      </c>
      <c r="AB331" s="380">
        <v>0</v>
      </c>
      <c r="AC331" s="379">
        <v>1</v>
      </c>
      <c r="AD331" s="379">
        <v>1</v>
      </c>
      <c r="AE331" s="379">
        <v>1</v>
      </c>
      <c r="AF331" s="379"/>
      <c r="AG331" s="380">
        <v>0</v>
      </c>
      <c r="AH331" s="379">
        <v>1</v>
      </c>
      <c r="AI331" s="379">
        <v>1</v>
      </c>
      <c r="AJ331" s="379">
        <v>1</v>
      </c>
      <c r="AL331" s="366" t="s">
        <v>228</v>
      </c>
    </row>
    <row r="332" spans="1:38" s="1" customFormat="1" ht="12.75" customHeight="1" x14ac:dyDescent="0.25">
      <c r="A332" s="369"/>
      <c r="B332" s="371"/>
      <c r="C332" s="5"/>
      <c r="D332" s="5"/>
      <c r="E332" s="5"/>
      <c r="F332" s="5"/>
      <c r="G332" s="5"/>
      <c r="H332" s="5"/>
      <c r="I332" s="5"/>
      <c r="J332" s="5"/>
      <c r="K332" s="5"/>
      <c r="L332" s="5"/>
      <c r="M332" s="5"/>
      <c r="N332" s="5"/>
      <c r="O332" s="5"/>
      <c r="P332" s="5"/>
      <c r="Q332" s="5"/>
      <c r="R332" s="5"/>
      <c r="S332" s="5"/>
      <c r="T332" s="5"/>
      <c r="U332" s="5"/>
      <c r="V332" s="5"/>
      <c r="W332" s="5"/>
      <c r="X332" s="5"/>
      <c r="Y332" s="371"/>
      <c r="Z332" s="386" t="s">
        <v>2</v>
      </c>
      <c r="AA332" s="380">
        <v>0</v>
      </c>
      <c r="AB332" s="380">
        <v>0</v>
      </c>
      <c r="AC332" s="379" t="s">
        <v>2</v>
      </c>
      <c r="AD332" s="379" t="s">
        <v>2</v>
      </c>
      <c r="AE332" s="379" t="s">
        <v>2</v>
      </c>
      <c r="AF332" s="379"/>
      <c r="AG332" s="380">
        <v>0</v>
      </c>
      <c r="AH332" s="380">
        <v>0</v>
      </c>
      <c r="AI332" s="380">
        <v>0</v>
      </c>
      <c r="AJ332" s="380">
        <v>0</v>
      </c>
      <c r="AL332" s="366" t="s">
        <v>773</v>
      </c>
    </row>
    <row r="333" spans="1:38" s="543" customFormat="1" ht="12.75" customHeight="1" x14ac:dyDescent="0.25">
      <c r="A333" s="540"/>
      <c r="B333" s="541" t="s">
        <v>710</v>
      </c>
      <c r="C333" s="637" t="s">
        <v>50</v>
      </c>
      <c r="D333" s="637"/>
      <c r="E333" s="637"/>
      <c r="F333" s="637"/>
      <c r="G333" s="637"/>
      <c r="H333" s="637"/>
      <c r="I333" s="637"/>
      <c r="J333" s="637"/>
      <c r="K333" s="637"/>
      <c r="L333" s="637"/>
      <c r="M333" s="541"/>
      <c r="N333" s="637"/>
      <c r="O333" s="637"/>
      <c r="P333" s="637"/>
      <c r="Q333" s="637"/>
      <c r="R333" s="637"/>
      <c r="S333" s="637"/>
      <c r="T333" s="637"/>
      <c r="U333" s="637"/>
      <c r="V333" s="637"/>
      <c r="W333" s="637"/>
      <c r="X333" s="541"/>
      <c r="Y333" s="545"/>
      <c r="Z333" s="546" t="s">
        <v>2</v>
      </c>
      <c r="AA333" s="547">
        <v>0</v>
      </c>
      <c r="AB333" s="547">
        <v>0</v>
      </c>
      <c r="AC333" s="548" t="s">
        <v>2</v>
      </c>
      <c r="AD333" s="548" t="s">
        <v>2</v>
      </c>
      <c r="AE333" s="548" t="s">
        <v>2</v>
      </c>
      <c r="AF333" s="548"/>
      <c r="AG333" s="547">
        <v>0</v>
      </c>
      <c r="AH333" s="547">
        <v>0</v>
      </c>
      <c r="AI333" s="547">
        <v>0</v>
      </c>
      <c r="AJ333" s="547">
        <v>0</v>
      </c>
      <c r="AL333" s="550" t="s">
        <v>721</v>
      </c>
    </row>
    <row r="334" spans="1:38" s="46" customFormat="1" ht="12.75" customHeight="1" x14ac:dyDescent="0.25">
      <c r="A334" s="48"/>
      <c r="B334" s="347"/>
      <c r="C334" s="364"/>
      <c r="D334" s="364"/>
      <c r="E334" s="364"/>
      <c r="F334" s="364"/>
      <c r="G334" s="364"/>
      <c r="H334" s="364"/>
      <c r="I334" s="364"/>
      <c r="J334" s="364"/>
      <c r="K334" s="364"/>
      <c r="L334" s="364"/>
      <c r="M334" s="347"/>
      <c r="N334" s="364"/>
      <c r="O334" s="364"/>
      <c r="P334" s="364"/>
      <c r="Q334" s="364"/>
      <c r="R334" s="364"/>
      <c r="S334" s="364"/>
      <c r="T334" s="364"/>
      <c r="U334" s="364"/>
      <c r="V334" s="364"/>
      <c r="W334" s="364"/>
      <c r="X334" s="347"/>
      <c r="Y334" s="45"/>
      <c r="Z334" s="386" t="s">
        <v>2</v>
      </c>
      <c r="AA334" s="380">
        <v>0</v>
      </c>
      <c r="AB334" s="380">
        <v>0</v>
      </c>
      <c r="AC334" s="379" t="s">
        <v>2</v>
      </c>
      <c r="AD334" s="379" t="s">
        <v>2</v>
      </c>
      <c r="AE334" s="379" t="s">
        <v>2</v>
      </c>
      <c r="AF334" s="379"/>
      <c r="AG334" s="380">
        <v>0</v>
      </c>
      <c r="AH334" s="380">
        <v>0</v>
      </c>
      <c r="AI334" s="380">
        <v>0</v>
      </c>
      <c r="AJ334" s="380">
        <v>0</v>
      </c>
      <c r="AL334" s="366" t="s">
        <v>238</v>
      </c>
    </row>
    <row r="335" spans="1:38" s="1" customFormat="1" ht="12.75" customHeight="1" x14ac:dyDescent="0.25">
      <c r="A335" s="355">
        <v>1</v>
      </c>
      <c r="B335" s="402"/>
      <c r="C335" s="612" t="s">
        <v>385</v>
      </c>
      <c r="D335" s="612"/>
      <c r="E335" s="612"/>
      <c r="F335" s="612"/>
      <c r="G335" s="612"/>
      <c r="H335" s="612"/>
      <c r="I335" s="612"/>
      <c r="J335" s="612"/>
      <c r="K335" s="612"/>
      <c r="L335" s="613"/>
      <c r="M335" s="575"/>
      <c r="N335" s="576"/>
      <c r="O335" s="576"/>
      <c r="P335" s="576"/>
      <c r="Q335" s="576"/>
      <c r="R335" s="576"/>
      <c r="S335" s="576"/>
      <c r="T335" s="576"/>
      <c r="U335" s="576"/>
      <c r="V335" s="576"/>
      <c r="W335" s="576"/>
      <c r="X335" s="577"/>
      <c r="Y335" s="371"/>
      <c r="Z335" s="386">
        <f t="shared" ref="Z335:Z348" si="31">IF(Z$3=0,0,IF(Z$3=1,AA335,IF(Z$3=2,AB335,IF(Z$3=3,AC335,IF(Z$3=4,AD335,IF(Z$3=5,AE335,IF(Z$3=6,AG335,IF(Z$3=7,AH335,IF(Z$3=8,AI335,IF(Z$3=9,AJ335,0))))))))))</f>
        <v>1</v>
      </c>
      <c r="AA335" s="380">
        <v>0</v>
      </c>
      <c r="AB335" s="380">
        <v>0</v>
      </c>
      <c r="AC335" s="380">
        <v>0</v>
      </c>
      <c r="AD335" s="379">
        <v>1</v>
      </c>
      <c r="AE335" s="379">
        <v>1</v>
      </c>
      <c r="AF335" s="379"/>
      <c r="AG335" s="380">
        <v>0</v>
      </c>
      <c r="AH335" s="380">
        <v>0</v>
      </c>
      <c r="AI335" s="380">
        <v>0</v>
      </c>
      <c r="AJ335" s="380">
        <v>0</v>
      </c>
      <c r="AL335" s="366" t="s">
        <v>19</v>
      </c>
    </row>
    <row r="336" spans="1:38" s="1" customFormat="1" ht="12.75" customHeight="1" x14ac:dyDescent="0.25">
      <c r="A336" s="355">
        <f t="shared" ref="A336:A342" si="32">A335+1</f>
        <v>2</v>
      </c>
      <c r="B336" s="402"/>
      <c r="C336" s="615" t="s">
        <v>359</v>
      </c>
      <c r="D336" s="615"/>
      <c r="E336" s="615"/>
      <c r="F336" s="615"/>
      <c r="G336" s="615"/>
      <c r="H336" s="615"/>
      <c r="I336" s="615"/>
      <c r="J336" s="615"/>
      <c r="K336" s="615"/>
      <c r="L336" s="613"/>
      <c r="M336" s="726"/>
      <c r="N336" s="726"/>
      <c r="O336" s="726"/>
      <c r="P336" s="726"/>
      <c r="Q336" s="726"/>
      <c r="R336" s="726"/>
      <c r="S336" s="726"/>
      <c r="T336" s="726"/>
      <c r="U336" s="360" t="s">
        <v>238</v>
      </c>
      <c r="V336" s="2"/>
      <c r="W336" s="2"/>
      <c r="X336" s="2"/>
      <c r="Y336" s="2"/>
      <c r="Z336" s="386">
        <f t="shared" si="31"/>
        <v>1</v>
      </c>
      <c r="AA336" s="380">
        <v>0</v>
      </c>
      <c r="AB336" s="380">
        <v>0</v>
      </c>
      <c r="AC336" s="380">
        <v>0</v>
      </c>
      <c r="AD336" s="379">
        <v>1</v>
      </c>
      <c r="AE336" s="379">
        <v>1</v>
      </c>
      <c r="AF336" s="379"/>
      <c r="AG336" s="380">
        <v>0</v>
      </c>
      <c r="AH336" s="380">
        <v>0</v>
      </c>
      <c r="AI336" s="380">
        <v>0</v>
      </c>
      <c r="AJ336" s="380">
        <v>0</v>
      </c>
      <c r="AL336" s="366" t="s">
        <v>424</v>
      </c>
    </row>
    <row r="337" spans="1:38" s="1" customFormat="1" ht="12.75" customHeight="1" x14ac:dyDescent="0.25">
      <c r="A337" s="355">
        <f t="shared" si="32"/>
        <v>3</v>
      </c>
      <c r="B337" s="402"/>
      <c r="C337" s="615" t="s">
        <v>386</v>
      </c>
      <c r="D337" s="615"/>
      <c r="E337" s="615"/>
      <c r="F337" s="615"/>
      <c r="G337" s="615"/>
      <c r="H337" s="615"/>
      <c r="I337" s="615"/>
      <c r="J337" s="615"/>
      <c r="K337" s="615"/>
      <c r="L337" s="613"/>
      <c r="M337" s="580"/>
      <c r="N337" s="580"/>
      <c r="O337" s="580"/>
      <c r="P337" s="580"/>
      <c r="Q337" s="580"/>
      <c r="R337" s="671"/>
      <c r="S337" s="671"/>
      <c r="T337" s="671"/>
      <c r="U337" s="360" t="s">
        <v>238</v>
      </c>
      <c r="V337" s="2"/>
      <c r="W337" s="2"/>
      <c r="X337" s="2"/>
      <c r="Y337" s="2"/>
      <c r="Z337" s="386">
        <f t="shared" si="31"/>
        <v>1</v>
      </c>
      <c r="AA337" s="380">
        <v>0</v>
      </c>
      <c r="AB337" s="380">
        <v>0</v>
      </c>
      <c r="AC337" s="380">
        <v>0</v>
      </c>
      <c r="AD337" s="379">
        <v>1</v>
      </c>
      <c r="AE337" s="379">
        <v>1</v>
      </c>
      <c r="AF337" s="379"/>
      <c r="AG337" s="380">
        <v>0</v>
      </c>
      <c r="AH337" s="380">
        <v>0</v>
      </c>
      <c r="AI337" s="380">
        <v>0</v>
      </c>
      <c r="AJ337" s="380">
        <v>0</v>
      </c>
      <c r="AL337" s="366" t="s">
        <v>721</v>
      </c>
    </row>
    <row r="338" spans="1:38" s="5" customFormat="1" ht="12.75" customHeight="1" x14ac:dyDescent="0.25">
      <c r="A338" s="369">
        <f t="shared" si="32"/>
        <v>4</v>
      </c>
      <c r="B338" s="402"/>
      <c r="C338" s="578" t="s">
        <v>215</v>
      </c>
      <c r="D338" s="578"/>
      <c r="E338" s="578"/>
      <c r="F338" s="578"/>
      <c r="G338" s="578"/>
      <c r="H338" s="578"/>
      <c r="I338" s="578"/>
      <c r="J338" s="578"/>
      <c r="K338" s="578"/>
      <c r="L338" s="578"/>
      <c r="M338" s="360" t="s">
        <v>238</v>
      </c>
      <c r="N338" s="581" t="s">
        <v>469</v>
      </c>
      <c r="O338" s="582"/>
      <c r="P338" s="605"/>
      <c r="Q338" s="621"/>
      <c r="R338" s="621"/>
      <c r="S338" s="621"/>
      <c r="T338" s="621"/>
      <c r="U338" s="621"/>
      <c r="V338" s="621"/>
      <c r="W338" s="621"/>
      <c r="X338" s="606"/>
      <c r="Y338" s="369"/>
      <c r="Z338" s="386">
        <f t="shared" si="31"/>
        <v>1</v>
      </c>
      <c r="AA338" s="380">
        <v>0</v>
      </c>
      <c r="AB338" s="380">
        <v>0</v>
      </c>
      <c r="AC338" s="379">
        <v>1</v>
      </c>
      <c r="AD338" s="379">
        <v>1</v>
      </c>
      <c r="AE338" s="379">
        <v>1</v>
      </c>
      <c r="AF338" s="379"/>
      <c r="AG338" s="380">
        <v>0</v>
      </c>
      <c r="AH338" s="380">
        <v>0</v>
      </c>
      <c r="AI338" s="380">
        <v>0</v>
      </c>
      <c r="AJ338" s="380">
        <v>0</v>
      </c>
      <c r="AL338" s="366" t="s">
        <v>238</v>
      </c>
    </row>
    <row r="339" spans="1:38" s="1" customFormat="1" ht="12.75" customHeight="1" x14ac:dyDescent="0.25">
      <c r="A339" s="369">
        <f t="shared" si="32"/>
        <v>5</v>
      </c>
      <c r="B339" s="402"/>
      <c r="C339" s="578" t="s">
        <v>214</v>
      </c>
      <c r="D339" s="578"/>
      <c r="E339" s="578"/>
      <c r="F339" s="578"/>
      <c r="G339" s="578"/>
      <c r="H339" s="578"/>
      <c r="I339" s="578"/>
      <c r="J339" s="578"/>
      <c r="K339" s="578"/>
      <c r="L339" s="579"/>
      <c r="M339" s="611" t="s">
        <v>238</v>
      </c>
      <c r="N339" s="611"/>
      <c r="O339" s="611"/>
      <c r="P339" s="611"/>
      <c r="Q339" s="580"/>
      <c r="R339" s="580"/>
      <c r="S339" s="580"/>
      <c r="T339" s="580"/>
      <c r="U339" s="580"/>
      <c r="V339" s="580"/>
      <c r="W339" s="580"/>
      <c r="X339" s="580"/>
      <c r="Y339" s="371"/>
      <c r="Z339" s="386">
        <f t="shared" si="31"/>
        <v>1</v>
      </c>
      <c r="AA339" s="380">
        <v>0</v>
      </c>
      <c r="AB339" s="380">
        <v>0</v>
      </c>
      <c r="AC339" s="379">
        <v>1</v>
      </c>
      <c r="AD339" s="379">
        <v>1</v>
      </c>
      <c r="AE339" s="379">
        <v>1</v>
      </c>
      <c r="AF339" s="379"/>
      <c r="AG339" s="380">
        <v>0</v>
      </c>
      <c r="AH339" s="380">
        <v>0</v>
      </c>
      <c r="AI339" s="380">
        <v>0</v>
      </c>
      <c r="AJ339" s="380">
        <v>0</v>
      </c>
      <c r="AL339" s="366" t="s">
        <v>72</v>
      </c>
    </row>
    <row r="340" spans="1:38" s="1" customFormat="1" ht="12.75" customHeight="1" x14ac:dyDescent="0.25">
      <c r="A340" s="369">
        <f t="shared" si="32"/>
        <v>6</v>
      </c>
      <c r="B340" s="402"/>
      <c r="C340" s="612" t="s">
        <v>218</v>
      </c>
      <c r="D340" s="612"/>
      <c r="E340" s="612"/>
      <c r="F340" s="612"/>
      <c r="G340" s="612"/>
      <c r="H340" s="612"/>
      <c r="I340" s="612"/>
      <c r="J340" s="612"/>
      <c r="K340" s="612"/>
      <c r="L340" s="613"/>
      <c r="M340" s="611" t="s">
        <v>238</v>
      </c>
      <c r="N340" s="611"/>
      <c r="O340" s="611"/>
      <c r="P340" s="611"/>
      <c r="Q340" s="580"/>
      <c r="R340" s="580"/>
      <c r="S340" s="580"/>
      <c r="T340" s="580"/>
      <c r="U340" s="580"/>
      <c r="V340" s="580"/>
      <c r="W340" s="580"/>
      <c r="X340" s="580"/>
      <c r="Y340" s="371"/>
      <c r="Z340" s="386">
        <f t="shared" si="31"/>
        <v>1</v>
      </c>
      <c r="AA340" s="380">
        <v>0</v>
      </c>
      <c r="AB340" s="380">
        <v>0</v>
      </c>
      <c r="AC340" s="379">
        <v>1</v>
      </c>
      <c r="AD340" s="379">
        <v>1</v>
      </c>
      <c r="AE340" s="379">
        <v>1</v>
      </c>
      <c r="AF340" s="379"/>
      <c r="AG340" s="380">
        <v>0</v>
      </c>
      <c r="AH340" s="380">
        <v>0</v>
      </c>
      <c r="AI340" s="380">
        <v>0</v>
      </c>
      <c r="AJ340" s="380">
        <v>0</v>
      </c>
      <c r="AL340" s="366" t="s">
        <v>774</v>
      </c>
    </row>
    <row r="341" spans="1:38" s="1" customFormat="1" ht="12.75" customHeight="1" x14ac:dyDescent="0.25">
      <c r="A341" s="369">
        <f t="shared" si="32"/>
        <v>7</v>
      </c>
      <c r="B341" s="402"/>
      <c r="C341" s="612" t="s">
        <v>217</v>
      </c>
      <c r="D341" s="612"/>
      <c r="E341" s="612"/>
      <c r="F341" s="612"/>
      <c r="G341" s="612"/>
      <c r="H341" s="612"/>
      <c r="I341" s="612"/>
      <c r="J341" s="612"/>
      <c r="K341" s="612"/>
      <c r="L341" s="613"/>
      <c r="M341" s="611" t="s">
        <v>238</v>
      </c>
      <c r="N341" s="611"/>
      <c r="O341" s="611"/>
      <c r="P341" s="611"/>
      <c r="Q341" s="580"/>
      <c r="R341" s="580"/>
      <c r="S341" s="580"/>
      <c r="T341" s="580"/>
      <c r="U341" s="580"/>
      <c r="V341" s="580"/>
      <c r="W341" s="580"/>
      <c r="X341" s="580"/>
      <c r="Y341" s="371"/>
      <c r="Z341" s="386">
        <f t="shared" si="31"/>
        <v>1</v>
      </c>
      <c r="AA341" s="380">
        <v>0</v>
      </c>
      <c r="AB341" s="380">
        <v>0</v>
      </c>
      <c r="AC341" s="379">
        <v>1</v>
      </c>
      <c r="AD341" s="379">
        <v>1</v>
      </c>
      <c r="AE341" s="379">
        <v>1</v>
      </c>
      <c r="AF341" s="379"/>
      <c r="AG341" s="380">
        <v>0</v>
      </c>
      <c r="AH341" s="380">
        <v>0</v>
      </c>
      <c r="AI341" s="380">
        <v>0</v>
      </c>
      <c r="AJ341" s="380">
        <v>0</v>
      </c>
      <c r="AL341" s="366" t="s">
        <v>721</v>
      </c>
    </row>
    <row r="342" spans="1:38" s="1" customFormat="1" ht="12.75" customHeight="1" x14ac:dyDescent="0.25">
      <c r="A342" s="369">
        <f t="shared" si="32"/>
        <v>8</v>
      </c>
      <c r="B342" s="402"/>
      <c r="C342" s="612" t="s">
        <v>307</v>
      </c>
      <c r="D342" s="612"/>
      <c r="E342" s="612"/>
      <c r="F342" s="612"/>
      <c r="G342" s="612"/>
      <c r="H342" s="612"/>
      <c r="I342" s="612"/>
      <c r="J342" s="612"/>
      <c r="K342" s="612"/>
      <c r="L342" s="612"/>
      <c r="M342" s="582" t="s">
        <v>309</v>
      </c>
      <c r="N342" s="582"/>
      <c r="O342" s="583"/>
      <c r="P342" s="605"/>
      <c r="Q342" s="606"/>
      <c r="R342" s="631" t="s">
        <v>308</v>
      </c>
      <c r="S342" s="615"/>
      <c r="T342" s="615"/>
      <c r="U342" s="627"/>
      <c r="V342" s="628"/>
      <c r="W342" s="669">
        <f>U342-P342</f>
        <v>0</v>
      </c>
      <c r="X342" s="670"/>
      <c r="Y342" s="371"/>
      <c r="Z342" s="386">
        <f t="shared" si="31"/>
        <v>1</v>
      </c>
      <c r="AA342" s="380">
        <v>0</v>
      </c>
      <c r="AB342" s="380">
        <v>0</v>
      </c>
      <c r="AC342" s="379">
        <v>1</v>
      </c>
      <c r="AD342" s="379">
        <v>1</v>
      </c>
      <c r="AE342" s="379">
        <v>1</v>
      </c>
      <c r="AF342" s="379"/>
      <c r="AG342" s="380">
        <v>0</v>
      </c>
      <c r="AH342" s="380">
        <v>0</v>
      </c>
      <c r="AI342" s="380">
        <v>0</v>
      </c>
      <c r="AJ342" s="380">
        <v>0</v>
      </c>
      <c r="AL342" s="366" t="s">
        <v>238</v>
      </c>
    </row>
    <row r="343" spans="1:38" s="1" customFormat="1" ht="12.75" customHeight="1" x14ac:dyDescent="0.25">
      <c r="A343" s="355">
        <f t="shared" ref="A343:A348" si="33">A342+1</f>
        <v>9</v>
      </c>
      <c r="B343" s="402"/>
      <c r="C343" s="612" t="s">
        <v>305</v>
      </c>
      <c r="D343" s="612"/>
      <c r="E343" s="612"/>
      <c r="F343" s="612"/>
      <c r="G343" s="612"/>
      <c r="H343" s="612"/>
      <c r="I343" s="612"/>
      <c r="J343" s="612"/>
      <c r="K343" s="612"/>
      <c r="L343" s="613"/>
      <c r="M343" s="360" t="s">
        <v>238</v>
      </c>
      <c r="N343" s="631" t="s">
        <v>79</v>
      </c>
      <c r="O343" s="615"/>
      <c r="P343" s="613"/>
      <c r="Q343" s="360" t="s">
        <v>238</v>
      </c>
      <c r="R343" s="631" t="s">
        <v>306</v>
      </c>
      <c r="S343" s="615"/>
      <c r="T343" s="615"/>
      <c r="U343" s="360" t="s">
        <v>238</v>
      </c>
      <c r="V343" s="394"/>
      <c r="W343" s="394"/>
      <c r="X343" s="395"/>
      <c r="Y343" s="371"/>
      <c r="Z343" s="386">
        <f t="shared" si="31"/>
        <v>1</v>
      </c>
      <c r="AA343" s="380">
        <v>0</v>
      </c>
      <c r="AB343" s="380">
        <v>0</v>
      </c>
      <c r="AC343" s="380">
        <v>0</v>
      </c>
      <c r="AD343" s="379">
        <v>1</v>
      </c>
      <c r="AE343" s="379">
        <v>1</v>
      </c>
      <c r="AF343" s="379"/>
      <c r="AG343" s="380">
        <v>0</v>
      </c>
      <c r="AH343" s="380">
        <v>0</v>
      </c>
      <c r="AI343" s="380">
        <v>0</v>
      </c>
      <c r="AJ343" s="380">
        <v>0</v>
      </c>
      <c r="AL343" s="366"/>
    </row>
    <row r="344" spans="1:38" s="1" customFormat="1" ht="12.75" customHeight="1" x14ac:dyDescent="0.25">
      <c r="A344" s="355">
        <f t="shared" si="33"/>
        <v>10</v>
      </c>
      <c r="B344" s="402"/>
      <c r="C344" s="612" t="s">
        <v>481</v>
      </c>
      <c r="D344" s="612"/>
      <c r="E344" s="612"/>
      <c r="F344" s="612"/>
      <c r="G344" s="612"/>
      <c r="H344" s="612"/>
      <c r="I344" s="612"/>
      <c r="J344" s="612"/>
      <c r="K344" s="612"/>
      <c r="L344" s="613"/>
      <c r="M344" s="360" t="s">
        <v>238</v>
      </c>
      <c r="N344" s="631" t="s">
        <v>152</v>
      </c>
      <c r="O344" s="615"/>
      <c r="P344" s="613"/>
      <c r="Q344" s="360" t="s">
        <v>238</v>
      </c>
      <c r="R344" s="631" t="s">
        <v>787</v>
      </c>
      <c r="S344" s="615"/>
      <c r="T344" s="615"/>
      <c r="U344" s="360" t="s">
        <v>238</v>
      </c>
      <c r="V344" s="631" t="s">
        <v>788</v>
      </c>
      <c r="W344" s="615"/>
      <c r="X344" s="615"/>
      <c r="Y344" s="371"/>
      <c r="Z344" s="386">
        <f t="shared" si="31"/>
        <v>1</v>
      </c>
      <c r="AA344" s="380">
        <v>0</v>
      </c>
      <c r="AB344" s="380">
        <v>0</v>
      </c>
      <c r="AC344" s="380">
        <v>0</v>
      </c>
      <c r="AD344" s="379">
        <v>1</v>
      </c>
      <c r="AE344" s="379">
        <v>1</v>
      </c>
      <c r="AF344" s="379"/>
      <c r="AG344" s="380">
        <v>0</v>
      </c>
      <c r="AH344" s="380">
        <v>0</v>
      </c>
      <c r="AI344" s="380">
        <v>0</v>
      </c>
      <c r="AJ344" s="380">
        <v>0</v>
      </c>
      <c r="AL344" s="1" t="s">
        <v>427</v>
      </c>
    </row>
    <row r="345" spans="1:38" s="1" customFormat="1" ht="12.75" customHeight="1" x14ac:dyDescent="0.25">
      <c r="A345" s="369">
        <f t="shared" si="33"/>
        <v>11</v>
      </c>
      <c r="B345" s="402"/>
      <c r="C345" s="612" t="s">
        <v>387</v>
      </c>
      <c r="D345" s="612"/>
      <c r="E345" s="612"/>
      <c r="F345" s="612"/>
      <c r="G345" s="612"/>
      <c r="H345" s="612"/>
      <c r="I345" s="612"/>
      <c r="J345" s="612"/>
      <c r="K345" s="612"/>
      <c r="L345" s="613"/>
      <c r="M345" s="360" t="s">
        <v>238</v>
      </c>
      <c r="N345" s="2"/>
      <c r="O345" s="674"/>
      <c r="P345" s="656"/>
      <c r="Q345" s="672" t="s">
        <v>789</v>
      </c>
      <c r="R345" s="673"/>
      <c r="S345" s="575"/>
      <c r="T345" s="576"/>
      <c r="U345" s="576"/>
      <c r="V345" s="576"/>
      <c r="W345" s="576"/>
      <c r="X345" s="577"/>
      <c r="Y345" s="371"/>
      <c r="Z345" s="386">
        <f t="shared" si="31"/>
        <v>1</v>
      </c>
      <c r="AA345" s="380">
        <v>0</v>
      </c>
      <c r="AB345" s="380">
        <v>0</v>
      </c>
      <c r="AC345" s="379">
        <v>1</v>
      </c>
      <c r="AD345" s="379">
        <v>1</v>
      </c>
      <c r="AE345" s="379">
        <v>1</v>
      </c>
      <c r="AF345" s="379"/>
      <c r="AG345" s="380">
        <v>0</v>
      </c>
      <c r="AH345" s="380">
        <v>0</v>
      </c>
      <c r="AI345" s="380">
        <v>0</v>
      </c>
      <c r="AJ345" s="380">
        <v>0</v>
      </c>
      <c r="AL345" s="1" t="s">
        <v>777</v>
      </c>
    </row>
    <row r="346" spans="1:38" s="1" customFormat="1" ht="12.75" customHeight="1" x14ac:dyDescent="0.25">
      <c r="A346" s="369">
        <f t="shared" si="33"/>
        <v>12</v>
      </c>
      <c r="B346" s="402"/>
      <c r="C346" s="612" t="s">
        <v>388</v>
      </c>
      <c r="D346" s="612"/>
      <c r="E346" s="612"/>
      <c r="F346" s="612"/>
      <c r="G346" s="612"/>
      <c r="H346" s="612"/>
      <c r="I346" s="612"/>
      <c r="J346" s="612"/>
      <c r="K346" s="612"/>
      <c r="L346" s="613"/>
      <c r="M346" s="360" t="s">
        <v>238</v>
      </c>
      <c r="N346" s="2"/>
      <c r="O346" s="605"/>
      <c r="P346" s="606"/>
      <c r="Q346" s="672" t="s">
        <v>789</v>
      </c>
      <c r="R346" s="673"/>
      <c r="S346" s="575"/>
      <c r="T346" s="576"/>
      <c r="U346" s="576"/>
      <c r="V346" s="576"/>
      <c r="W346" s="576"/>
      <c r="X346" s="577"/>
      <c r="Y346" s="371"/>
      <c r="Z346" s="386">
        <f t="shared" si="31"/>
        <v>1</v>
      </c>
      <c r="AA346" s="380">
        <v>0</v>
      </c>
      <c r="AB346" s="380">
        <v>0</v>
      </c>
      <c r="AC346" s="379">
        <v>1</v>
      </c>
      <c r="AD346" s="379">
        <v>1</v>
      </c>
      <c r="AE346" s="379">
        <v>1</v>
      </c>
      <c r="AF346" s="379"/>
      <c r="AG346" s="380">
        <v>0</v>
      </c>
      <c r="AH346" s="380">
        <v>0</v>
      </c>
      <c r="AI346" s="380">
        <v>0</v>
      </c>
      <c r="AJ346" s="380">
        <v>0</v>
      </c>
      <c r="AL346" s="1" t="s">
        <v>721</v>
      </c>
    </row>
    <row r="347" spans="1:38" s="1" customFormat="1" ht="12.75" customHeight="1" x14ac:dyDescent="0.25">
      <c r="A347" s="355">
        <f t="shared" si="33"/>
        <v>13</v>
      </c>
      <c r="B347" s="402"/>
      <c r="C347" s="612" t="s">
        <v>389</v>
      </c>
      <c r="D347" s="612"/>
      <c r="E347" s="612"/>
      <c r="F347" s="612"/>
      <c r="G347" s="612"/>
      <c r="H347" s="612"/>
      <c r="I347" s="612"/>
      <c r="J347" s="612"/>
      <c r="K347" s="612"/>
      <c r="L347" s="613"/>
      <c r="M347" s="360" t="s">
        <v>238</v>
      </c>
      <c r="N347" s="2"/>
      <c r="O347" s="627"/>
      <c r="P347" s="628"/>
      <c r="Q347" s="672" t="s">
        <v>789</v>
      </c>
      <c r="R347" s="673"/>
      <c r="S347" s="575"/>
      <c r="T347" s="576"/>
      <c r="U347" s="576"/>
      <c r="V347" s="576"/>
      <c r="W347" s="576"/>
      <c r="X347" s="577"/>
      <c r="Y347" s="371"/>
      <c r="Z347" s="386">
        <f t="shared" si="31"/>
        <v>1</v>
      </c>
      <c r="AA347" s="380">
        <v>0</v>
      </c>
      <c r="AB347" s="380">
        <v>0</v>
      </c>
      <c r="AC347" s="380">
        <v>0</v>
      </c>
      <c r="AD347" s="379">
        <v>1</v>
      </c>
      <c r="AE347" s="379">
        <v>1</v>
      </c>
      <c r="AF347" s="379"/>
      <c r="AG347" s="380">
        <v>0</v>
      </c>
      <c r="AH347" s="380">
        <v>0</v>
      </c>
      <c r="AI347" s="380">
        <v>0</v>
      </c>
      <c r="AJ347" s="380">
        <v>0</v>
      </c>
      <c r="AL347" s="1" t="s">
        <v>238</v>
      </c>
    </row>
    <row r="348" spans="1:38" s="1" customFormat="1" ht="12.75" customHeight="1" x14ac:dyDescent="0.25">
      <c r="A348" s="355">
        <f t="shared" si="33"/>
        <v>14</v>
      </c>
      <c r="B348" s="402"/>
      <c r="C348" s="612" t="s">
        <v>390</v>
      </c>
      <c r="D348" s="612"/>
      <c r="E348" s="612"/>
      <c r="F348" s="612"/>
      <c r="G348" s="612"/>
      <c r="H348" s="612"/>
      <c r="I348" s="612"/>
      <c r="J348" s="612"/>
      <c r="K348" s="612"/>
      <c r="L348" s="613"/>
      <c r="M348" s="360" t="s">
        <v>238</v>
      </c>
      <c r="N348" s="2"/>
      <c r="O348" s="605"/>
      <c r="P348" s="621"/>
      <c r="Q348" s="621"/>
      <c r="R348" s="621"/>
      <c r="S348" s="621"/>
      <c r="T348" s="621"/>
      <c r="U348" s="621"/>
      <c r="V348" s="621"/>
      <c r="W348" s="621"/>
      <c r="X348" s="606"/>
      <c r="Y348" s="371"/>
      <c r="Z348" s="386">
        <f t="shared" si="31"/>
        <v>1</v>
      </c>
      <c r="AA348" s="380">
        <v>0</v>
      </c>
      <c r="AB348" s="380">
        <v>0</v>
      </c>
      <c r="AC348" s="380">
        <v>0</v>
      </c>
      <c r="AD348" s="379">
        <v>1</v>
      </c>
      <c r="AE348" s="379">
        <v>1</v>
      </c>
      <c r="AF348" s="379"/>
      <c r="AG348" s="380">
        <v>0</v>
      </c>
      <c r="AH348" s="380">
        <v>0</v>
      </c>
      <c r="AI348" s="380">
        <v>0</v>
      </c>
      <c r="AJ348" s="380">
        <v>0</v>
      </c>
      <c r="AL348" s="1" t="s">
        <v>429</v>
      </c>
    </row>
    <row r="349" spans="1:38" s="1" customFormat="1" x14ac:dyDescent="0.25">
      <c r="A349" s="369"/>
      <c r="B349" s="371"/>
      <c r="C349" s="15"/>
      <c r="D349" s="15"/>
      <c r="E349" s="15"/>
      <c r="F349" s="15"/>
      <c r="G349" s="15"/>
      <c r="H349" s="15"/>
      <c r="I349" s="15"/>
      <c r="J349" s="15"/>
      <c r="K349" s="15"/>
      <c r="L349" s="15"/>
      <c r="M349" s="15"/>
      <c r="N349" s="15"/>
      <c r="O349" s="15"/>
      <c r="P349" s="15"/>
      <c r="Q349" s="15"/>
      <c r="R349" s="15"/>
      <c r="S349" s="15"/>
      <c r="T349" s="15"/>
      <c r="U349" s="15"/>
      <c r="V349" s="15"/>
      <c r="W349" s="15"/>
      <c r="X349" s="15"/>
      <c r="Y349" s="371"/>
      <c r="Z349" s="386" t="s">
        <v>2</v>
      </c>
      <c r="AA349" s="379" t="s">
        <v>2</v>
      </c>
      <c r="AB349" s="379" t="s">
        <v>2</v>
      </c>
      <c r="AC349" s="379" t="s">
        <v>2</v>
      </c>
      <c r="AD349" s="379" t="s">
        <v>2</v>
      </c>
      <c r="AE349" s="379" t="s">
        <v>2</v>
      </c>
      <c r="AF349" s="379"/>
      <c r="AG349" s="379" t="s">
        <v>2</v>
      </c>
      <c r="AH349" s="379" t="s">
        <v>2</v>
      </c>
      <c r="AI349" s="379" t="s">
        <v>2</v>
      </c>
      <c r="AJ349" s="379" t="s">
        <v>2</v>
      </c>
      <c r="AL349" s="1" t="s">
        <v>428</v>
      </c>
    </row>
    <row r="350" spans="1:38" s="543" customFormat="1" ht="12.75" customHeight="1" x14ac:dyDescent="0.25">
      <c r="A350" s="540"/>
      <c r="B350" s="541" t="s">
        <v>711</v>
      </c>
      <c r="C350" s="637" t="s">
        <v>51</v>
      </c>
      <c r="D350" s="637"/>
      <c r="E350" s="637"/>
      <c r="F350" s="637"/>
      <c r="G350" s="637"/>
      <c r="H350" s="637"/>
      <c r="I350" s="637"/>
      <c r="J350" s="637"/>
      <c r="K350" s="637"/>
      <c r="L350" s="637"/>
      <c r="M350" s="541"/>
      <c r="N350" s="637"/>
      <c r="O350" s="637"/>
      <c r="P350" s="637"/>
      <c r="Q350" s="637"/>
      <c r="R350" s="637"/>
      <c r="S350" s="637"/>
      <c r="T350" s="637"/>
      <c r="U350" s="637"/>
      <c r="V350" s="637"/>
      <c r="W350" s="637"/>
      <c r="X350" s="541"/>
      <c r="Y350" s="545"/>
      <c r="Z350" s="546" t="s">
        <v>2</v>
      </c>
      <c r="AA350" s="548" t="s">
        <v>2</v>
      </c>
      <c r="AB350" s="548" t="s">
        <v>2</v>
      </c>
      <c r="AC350" s="548" t="s">
        <v>2</v>
      </c>
      <c r="AD350" s="548" t="s">
        <v>2</v>
      </c>
      <c r="AE350" s="548" t="s">
        <v>2</v>
      </c>
      <c r="AF350" s="548"/>
      <c r="AG350" s="548" t="s">
        <v>2</v>
      </c>
      <c r="AH350" s="548" t="s">
        <v>2</v>
      </c>
      <c r="AI350" s="548" t="s">
        <v>2</v>
      </c>
      <c r="AJ350" s="548" t="s">
        <v>2</v>
      </c>
      <c r="AL350" s="549" t="s">
        <v>721</v>
      </c>
    </row>
    <row r="351" spans="1:38" s="46" customFormat="1" ht="12.75" customHeight="1" x14ac:dyDescent="0.25">
      <c r="A351" s="48"/>
      <c r="B351" s="347"/>
      <c r="C351" s="364"/>
      <c r="D351" s="364"/>
      <c r="E351" s="364"/>
      <c r="F351" s="364"/>
      <c r="G351" s="364"/>
      <c r="H351" s="364"/>
      <c r="I351" s="666" t="s">
        <v>727</v>
      </c>
      <c r="J351" s="667"/>
      <c r="K351" s="667"/>
      <c r="L351" s="667"/>
      <c r="M351" s="667"/>
      <c r="N351" s="667"/>
      <c r="O351" s="667"/>
      <c r="P351" s="667"/>
      <c r="Q351" s="667"/>
      <c r="R351" s="667"/>
      <c r="S351" s="667"/>
      <c r="T351" s="667"/>
      <c r="U351" s="667"/>
      <c r="V351" s="667"/>
      <c r="W351" s="668"/>
      <c r="X351" s="347"/>
      <c r="Y351" s="45"/>
      <c r="Z351" s="386" t="s">
        <v>2</v>
      </c>
      <c r="AA351" s="379" t="s">
        <v>2</v>
      </c>
      <c r="AB351" s="379" t="s">
        <v>2</v>
      </c>
      <c r="AC351" s="379" t="s">
        <v>2</v>
      </c>
      <c r="AD351" s="379" t="s">
        <v>2</v>
      </c>
      <c r="AE351" s="379" t="s">
        <v>2</v>
      </c>
      <c r="AF351" s="379"/>
      <c r="AG351" s="379" t="s">
        <v>2</v>
      </c>
      <c r="AH351" s="379" t="s">
        <v>2</v>
      </c>
      <c r="AI351" s="379" t="s">
        <v>2</v>
      </c>
      <c r="AJ351" s="379" t="s">
        <v>2</v>
      </c>
      <c r="AL351" s="1" t="s">
        <v>238</v>
      </c>
    </row>
    <row r="352" spans="1:38" s="1" customFormat="1" ht="12.75" customHeight="1" x14ac:dyDescent="0.25">
      <c r="A352" s="369"/>
      <c r="B352" s="402"/>
      <c r="C352" s="5"/>
      <c r="D352" s="5"/>
      <c r="E352" s="5"/>
      <c r="F352" s="5"/>
      <c r="G352" s="5"/>
      <c r="H352" s="5"/>
      <c r="I352" s="675" t="s">
        <v>52</v>
      </c>
      <c r="J352" s="676"/>
      <c r="K352" s="676"/>
      <c r="L352" s="676"/>
      <c r="M352" s="676"/>
      <c r="N352" s="677"/>
      <c r="O352" s="675" t="s">
        <v>31</v>
      </c>
      <c r="P352" s="676"/>
      <c r="Q352" s="676"/>
      <c r="R352" s="676"/>
      <c r="S352" s="676"/>
      <c r="T352" s="677"/>
      <c r="X352" s="953" t="s">
        <v>819</v>
      </c>
      <c r="Y352" s="371"/>
      <c r="Z352" s="386" t="s">
        <v>2</v>
      </c>
      <c r="AA352" s="379" t="s">
        <v>2</v>
      </c>
      <c r="AB352" s="379" t="s">
        <v>2</v>
      </c>
      <c r="AC352" s="379" t="s">
        <v>2</v>
      </c>
      <c r="AD352" s="379" t="s">
        <v>2</v>
      </c>
      <c r="AE352" s="379" t="s">
        <v>2</v>
      </c>
      <c r="AF352" s="379"/>
      <c r="AG352" s="379" t="s">
        <v>2</v>
      </c>
      <c r="AH352" s="379" t="s">
        <v>2</v>
      </c>
      <c r="AI352" s="379" t="s">
        <v>2</v>
      </c>
      <c r="AJ352" s="379" t="s">
        <v>2</v>
      </c>
      <c r="AL352" s="1" t="s">
        <v>45</v>
      </c>
    </row>
    <row r="353" spans="1:38" s="1" customFormat="1" ht="12.75" customHeight="1" x14ac:dyDescent="0.25">
      <c r="A353" s="369"/>
      <c r="B353" s="402"/>
      <c r="C353" s="5"/>
      <c r="D353" s="5"/>
      <c r="E353" s="5"/>
      <c r="F353" s="5"/>
      <c r="G353" s="5"/>
      <c r="H353" s="5"/>
      <c r="I353" s="684" t="s">
        <v>42</v>
      </c>
      <c r="J353" s="684"/>
      <c r="K353" s="17"/>
      <c r="L353" s="647" t="s">
        <v>61</v>
      </c>
      <c r="M353" s="647"/>
      <c r="N353" s="18"/>
      <c r="O353" s="678" t="s">
        <v>42</v>
      </c>
      <c r="P353" s="678"/>
      <c r="Q353" s="17"/>
      <c r="R353" s="647" t="s">
        <v>61</v>
      </c>
      <c r="S353" s="647"/>
      <c r="T353" s="18"/>
      <c r="U353" s="19" t="s">
        <v>118</v>
      </c>
      <c r="V353" s="19" t="s">
        <v>464</v>
      </c>
      <c r="W353" s="19" t="s">
        <v>445</v>
      </c>
      <c r="X353" s="954"/>
      <c r="Y353" s="371"/>
      <c r="Z353" s="386" t="s">
        <v>2</v>
      </c>
      <c r="AA353" s="379" t="s">
        <v>2</v>
      </c>
      <c r="AB353" s="379" t="s">
        <v>2</v>
      </c>
      <c r="AC353" s="379" t="s">
        <v>2</v>
      </c>
      <c r="AD353" s="379" t="s">
        <v>2</v>
      </c>
      <c r="AE353" s="379" t="s">
        <v>2</v>
      </c>
      <c r="AF353" s="379"/>
      <c r="AG353" s="379" t="s">
        <v>2</v>
      </c>
      <c r="AH353" s="379" t="s">
        <v>2</v>
      </c>
      <c r="AI353" s="379" t="s">
        <v>2</v>
      </c>
      <c r="AJ353" s="379" t="s">
        <v>2</v>
      </c>
      <c r="AL353" s="1" t="s">
        <v>778</v>
      </c>
    </row>
    <row r="354" spans="1:38" s="1" customFormat="1" ht="12.75" customHeight="1" x14ac:dyDescent="0.25">
      <c r="A354" s="355">
        <v>1</v>
      </c>
      <c r="B354" s="20" t="s">
        <v>257</v>
      </c>
      <c r="C354" s="665" t="s">
        <v>398</v>
      </c>
      <c r="D354" s="578"/>
      <c r="E354" s="578"/>
      <c r="F354" s="578"/>
      <c r="G354" s="578"/>
      <c r="H354" s="578"/>
      <c r="I354" s="21"/>
      <c r="J354" s="21"/>
      <c r="K354" s="22"/>
      <c r="L354" s="640"/>
      <c r="M354" s="641"/>
      <c r="N354" s="360" t="s">
        <v>238</v>
      </c>
      <c r="O354" s="23"/>
      <c r="P354" s="24"/>
      <c r="Q354" s="21"/>
      <c r="R354" s="641"/>
      <c r="S354" s="642"/>
      <c r="T354" s="360" t="s">
        <v>238</v>
      </c>
      <c r="U354" s="10"/>
      <c r="V354" s="10"/>
      <c r="W354" s="360" t="s">
        <v>238</v>
      </c>
      <c r="X354" s="388" t="s">
        <v>238</v>
      </c>
      <c r="Y354" s="371"/>
      <c r="Z354" s="386">
        <f t="shared" ref="Z354:Z373" si="34">IF(Z$3=0,0,IF(Z$3=1,AA354,IF(Z$3=2,AB354,IF(Z$3=3,AC354,IF(Z$3=4,AD354,IF(Z$3=5,AE354,IF(Z$3=6,AG354,IF(Z$3=7,AH354,IF(Z$3=8,AI354,IF(Z$3=9,AJ354,0))))))))))</f>
        <v>0</v>
      </c>
      <c r="AA354" s="380">
        <v>0</v>
      </c>
      <c r="AB354" s="380">
        <v>0</v>
      </c>
      <c r="AC354" s="380">
        <v>0</v>
      </c>
      <c r="AD354" s="380">
        <v>0</v>
      </c>
      <c r="AE354" s="380">
        <v>0</v>
      </c>
      <c r="AF354" s="379"/>
      <c r="AG354" s="380">
        <v>0</v>
      </c>
      <c r="AH354" s="380">
        <v>0</v>
      </c>
      <c r="AI354" s="380">
        <v>1</v>
      </c>
      <c r="AJ354" s="380">
        <v>1</v>
      </c>
      <c r="AL354" s="1" t="s">
        <v>721</v>
      </c>
    </row>
    <row r="355" spans="1:38" s="1" customFormat="1" ht="12.75" customHeight="1" x14ac:dyDescent="0.25">
      <c r="A355" s="355">
        <f>A354+1</f>
        <v>2</v>
      </c>
      <c r="B355" s="20" t="s">
        <v>258</v>
      </c>
      <c r="C355" s="665" t="s">
        <v>53</v>
      </c>
      <c r="D355" s="578"/>
      <c r="E355" s="578"/>
      <c r="F355" s="578"/>
      <c r="G355" s="578"/>
      <c r="H355" s="578"/>
      <c r="I355" s="640"/>
      <c r="J355" s="640"/>
      <c r="K355" s="360" t="s">
        <v>238</v>
      </c>
      <c r="L355" s="25"/>
      <c r="M355" s="25"/>
      <c r="N355" s="25"/>
      <c r="O355" s="641"/>
      <c r="P355" s="642"/>
      <c r="Q355" s="360" t="s">
        <v>238</v>
      </c>
      <c r="R355" s="397"/>
      <c r="S355" s="397"/>
      <c r="T355" s="25"/>
      <c r="U355" s="10"/>
      <c r="V355" s="360" t="s">
        <v>238</v>
      </c>
      <c r="X355" s="388" t="s">
        <v>238</v>
      </c>
      <c r="Y355" s="371"/>
      <c r="Z355" s="386">
        <f t="shared" si="34"/>
        <v>1</v>
      </c>
      <c r="AA355" s="380">
        <v>0</v>
      </c>
      <c r="AB355" s="380">
        <v>0</v>
      </c>
      <c r="AC355" s="380">
        <v>0</v>
      </c>
      <c r="AD355" s="379">
        <v>1</v>
      </c>
      <c r="AE355" s="379">
        <v>1</v>
      </c>
      <c r="AF355" s="379"/>
      <c r="AG355" s="380">
        <v>0</v>
      </c>
      <c r="AH355" s="380">
        <v>0</v>
      </c>
      <c r="AI355" s="380">
        <v>0</v>
      </c>
      <c r="AJ355" s="380">
        <v>0</v>
      </c>
      <c r="AL355" s="1" t="s">
        <v>238</v>
      </c>
    </row>
    <row r="356" spans="1:38" s="1" customFormat="1" ht="12.75" customHeight="1" x14ac:dyDescent="0.25">
      <c r="A356" s="355">
        <f>A355+1</f>
        <v>3</v>
      </c>
      <c r="B356" s="20" t="s">
        <v>259</v>
      </c>
      <c r="C356" s="665" t="s">
        <v>54</v>
      </c>
      <c r="D356" s="578"/>
      <c r="E356" s="578"/>
      <c r="F356" s="578"/>
      <c r="G356" s="578"/>
      <c r="H356" s="662"/>
      <c r="I356" s="25"/>
      <c r="J356" s="25"/>
      <c r="K356" s="26"/>
      <c r="L356" s="641"/>
      <c r="M356" s="642"/>
      <c r="N356" s="360" t="s">
        <v>238</v>
      </c>
      <c r="O356" s="396"/>
      <c r="P356" s="397"/>
      <c r="Q356" s="26"/>
      <c r="R356" s="641"/>
      <c r="S356" s="642"/>
      <c r="T356" s="360" t="s">
        <v>238</v>
      </c>
      <c r="U356" s="360" t="s">
        <v>238</v>
      </c>
      <c r="V356" s="10"/>
      <c r="W356" s="360" t="s">
        <v>238</v>
      </c>
      <c r="X356" s="388" t="s">
        <v>238</v>
      </c>
      <c r="Y356" s="371"/>
      <c r="Z356" s="386">
        <f t="shared" si="34"/>
        <v>1</v>
      </c>
      <c r="AA356" s="380">
        <v>0</v>
      </c>
      <c r="AB356" s="380">
        <v>0</v>
      </c>
      <c r="AC356" s="380">
        <v>0</v>
      </c>
      <c r="AD356" s="379">
        <v>1</v>
      </c>
      <c r="AE356" s="379">
        <v>1</v>
      </c>
      <c r="AF356" s="379"/>
      <c r="AG356" s="380">
        <v>0</v>
      </c>
      <c r="AH356" s="380">
        <v>0</v>
      </c>
      <c r="AI356" s="380">
        <v>0</v>
      </c>
      <c r="AJ356" s="380">
        <v>0</v>
      </c>
      <c r="AL356" s="1" t="s">
        <v>433</v>
      </c>
    </row>
    <row r="357" spans="1:38" s="1" customFormat="1" ht="12.75" customHeight="1" x14ac:dyDescent="0.25">
      <c r="A357" s="355">
        <f t="shared" ref="A357:A373" si="35">A356+1</f>
        <v>4</v>
      </c>
      <c r="B357" s="20" t="s">
        <v>260</v>
      </c>
      <c r="C357" s="665" t="s">
        <v>81</v>
      </c>
      <c r="D357" s="578"/>
      <c r="E357" s="578"/>
      <c r="F357" s="578"/>
      <c r="G357" s="578"/>
      <c r="H357" s="579"/>
      <c r="I357" s="641"/>
      <c r="J357" s="642"/>
      <c r="K357" s="360" t="s">
        <v>238</v>
      </c>
      <c r="L357" s="641"/>
      <c r="M357" s="642"/>
      <c r="N357" s="360" t="s">
        <v>238</v>
      </c>
      <c r="O357" s="661"/>
      <c r="P357" s="661"/>
      <c r="Q357" s="360" t="s">
        <v>238</v>
      </c>
      <c r="R357" s="641"/>
      <c r="S357" s="642"/>
      <c r="T357" s="360" t="s">
        <v>238</v>
      </c>
      <c r="U357" s="360" t="s">
        <v>238</v>
      </c>
      <c r="V357" s="360" t="s">
        <v>238</v>
      </c>
      <c r="W357" s="360" t="s">
        <v>238</v>
      </c>
      <c r="X357" s="388" t="s">
        <v>238</v>
      </c>
      <c r="Y357" s="371"/>
      <c r="Z357" s="386">
        <f t="shared" si="34"/>
        <v>1</v>
      </c>
      <c r="AA357" s="380">
        <v>0</v>
      </c>
      <c r="AB357" s="380">
        <v>0</v>
      </c>
      <c r="AC357" s="380">
        <v>0</v>
      </c>
      <c r="AD357" s="379">
        <v>1</v>
      </c>
      <c r="AE357" s="379">
        <v>1</v>
      </c>
      <c r="AF357" s="379"/>
      <c r="AG357" s="380">
        <v>0</v>
      </c>
      <c r="AH357" s="380">
        <v>0</v>
      </c>
      <c r="AI357" s="380">
        <v>0</v>
      </c>
      <c r="AJ357" s="380">
        <v>0</v>
      </c>
      <c r="AL357" s="1" t="s">
        <v>779</v>
      </c>
    </row>
    <row r="358" spans="1:38" s="1" customFormat="1" ht="12.75" customHeight="1" x14ac:dyDescent="0.25">
      <c r="A358" s="355">
        <f t="shared" si="35"/>
        <v>5</v>
      </c>
      <c r="B358" s="20" t="s">
        <v>261</v>
      </c>
      <c r="C358" s="665" t="s">
        <v>220</v>
      </c>
      <c r="D358" s="578"/>
      <c r="E358" s="578"/>
      <c r="F358" s="578"/>
      <c r="G358" s="578"/>
      <c r="H358" s="579"/>
      <c r="I358" s="641"/>
      <c r="J358" s="642"/>
      <c r="K358" s="360" t="s">
        <v>238</v>
      </c>
      <c r="L358" s="25"/>
      <c r="M358" s="25"/>
      <c r="N358" s="25"/>
      <c r="O358" s="641"/>
      <c r="P358" s="642"/>
      <c r="Q358" s="360" t="s">
        <v>238</v>
      </c>
      <c r="R358" s="397"/>
      <c r="S358" s="397"/>
      <c r="T358" s="25"/>
      <c r="U358" s="360" t="s">
        <v>238</v>
      </c>
      <c r="V358" s="360" t="s">
        <v>238</v>
      </c>
      <c r="X358" s="388" t="s">
        <v>238</v>
      </c>
      <c r="Y358" s="371"/>
      <c r="Z358" s="386">
        <f t="shared" si="34"/>
        <v>1</v>
      </c>
      <c r="AA358" s="380">
        <v>0</v>
      </c>
      <c r="AB358" s="380">
        <v>0</v>
      </c>
      <c r="AC358" s="380">
        <v>0</v>
      </c>
      <c r="AD358" s="379">
        <v>1</v>
      </c>
      <c r="AE358" s="379">
        <v>1</v>
      </c>
      <c r="AF358" s="379"/>
      <c r="AG358" s="380">
        <v>0</v>
      </c>
      <c r="AH358" s="380">
        <v>0</v>
      </c>
      <c r="AI358" s="380">
        <v>0</v>
      </c>
      <c r="AJ358" s="380">
        <v>0</v>
      </c>
      <c r="AL358" s="1" t="s">
        <v>721</v>
      </c>
    </row>
    <row r="359" spans="1:38" s="1" customFormat="1" ht="12.75" customHeight="1" x14ac:dyDescent="0.25">
      <c r="A359" s="355">
        <f t="shared" si="35"/>
        <v>6</v>
      </c>
      <c r="B359" s="20" t="s">
        <v>262</v>
      </c>
      <c r="C359" s="665" t="s">
        <v>219</v>
      </c>
      <c r="D359" s="578"/>
      <c r="E359" s="578"/>
      <c r="F359" s="578"/>
      <c r="G359" s="578"/>
      <c r="H359" s="662"/>
      <c r="I359" s="25"/>
      <c r="J359" s="25"/>
      <c r="K359" s="26"/>
      <c r="L359" s="641"/>
      <c r="M359" s="642"/>
      <c r="N359" s="360" t="s">
        <v>238</v>
      </c>
      <c r="O359" s="396"/>
      <c r="P359" s="397"/>
      <c r="Q359" s="26"/>
      <c r="R359" s="641"/>
      <c r="S359" s="642"/>
      <c r="T359" s="360" t="s">
        <v>238</v>
      </c>
      <c r="U359" s="360" t="s">
        <v>238</v>
      </c>
      <c r="V359" s="27"/>
      <c r="W359" s="360" t="s">
        <v>238</v>
      </c>
      <c r="X359" s="388" t="s">
        <v>238</v>
      </c>
      <c r="Y359" s="371"/>
      <c r="Z359" s="386">
        <f t="shared" si="34"/>
        <v>1</v>
      </c>
      <c r="AA359" s="380">
        <v>0</v>
      </c>
      <c r="AB359" s="380">
        <v>0</v>
      </c>
      <c r="AC359" s="380">
        <v>0</v>
      </c>
      <c r="AD359" s="379">
        <v>1</v>
      </c>
      <c r="AE359" s="379">
        <v>1</v>
      </c>
      <c r="AF359" s="379"/>
      <c r="AG359" s="380">
        <v>0</v>
      </c>
      <c r="AH359" s="380">
        <v>0</v>
      </c>
      <c r="AI359" s="380">
        <v>0</v>
      </c>
      <c r="AJ359" s="380">
        <v>0</v>
      </c>
      <c r="AL359" s="1" t="s">
        <v>238</v>
      </c>
    </row>
    <row r="360" spans="1:38" s="1" customFormat="1" ht="12.75" customHeight="1" x14ac:dyDescent="0.25">
      <c r="A360" s="355">
        <f t="shared" si="35"/>
        <v>7</v>
      </c>
      <c r="B360" s="20" t="s">
        <v>263</v>
      </c>
      <c r="C360" s="665" t="s">
        <v>82</v>
      </c>
      <c r="D360" s="578"/>
      <c r="E360" s="578"/>
      <c r="F360" s="578"/>
      <c r="G360" s="578"/>
      <c r="H360" s="579"/>
      <c r="I360" s="641"/>
      <c r="J360" s="642"/>
      <c r="K360" s="360" t="s">
        <v>238</v>
      </c>
      <c r="L360" s="28"/>
      <c r="M360" s="28"/>
      <c r="N360" s="28"/>
      <c r="O360" s="641"/>
      <c r="P360" s="642"/>
      <c r="Q360" s="360" t="s">
        <v>238</v>
      </c>
      <c r="R360" s="399"/>
      <c r="S360" s="398"/>
      <c r="T360" s="21"/>
      <c r="U360" s="360" t="s">
        <v>238</v>
      </c>
      <c r="V360" s="29"/>
      <c r="W360" s="12"/>
      <c r="X360" s="388" t="s">
        <v>238</v>
      </c>
      <c r="Y360" s="371"/>
      <c r="Z360" s="386">
        <f t="shared" si="34"/>
        <v>1</v>
      </c>
      <c r="AA360" s="380">
        <v>0</v>
      </c>
      <c r="AB360" s="380">
        <v>0</v>
      </c>
      <c r="AC360" s="380">
        <v>0</v>
      </c>
      <c r="AD360" s="379">
        <v>1</v>
      </c>
      <c r="AE360" s="379">
        <v>1</v>
      </c>
      <c r="AF360" s="379"/>
      <c r="AG360" s="380">
        <v>0</v>
      </c>
      <c r="AH360" s="380">
        <v>0</v>
      </c>
      <c r="AI360" s="380">
        <v>0</v>
      </c>
      <c r="AJ360" s="380">
        <v>0</v>
      </c>
      <c r="AL360" s="1" t="s">
        <v>783</v>
      </c>
    </row>
    <row r="361" spans="1:38" s="1" customFormat="1" ht="12.75" customHeight="1" x14ac:dyDescent="0.25">
      <c r="A361" s="355">
        <f t="shared" si="35"/>
        <v>8</v>
      </c>
      <c r="B361" s="20" t="s">
        <v>264</v>
      </c>
      <c r="C361" s="665" t="s">
        <v>463</v>
      </c>
      <c r="D361" s="578"/>
      <c r="E361" s="578"/>
      <c r="F361" s="578"/>
      <c r="G361" s="578"/>
      <c r="H361" s="579"/>
      <c r="I361" s="641"/>
      <c r="J361" s="642"/>
      <c r="K361" s="360" t="s">
        <v>238</v>
      </c>
      <c r="L361" s="641"/>
      <c r="M361" s="642"/>
      <c r="N361" s="360" t="s">
        <v>238</v>
      </c>
      <c r="O361" s="398"/>
      <c r="P361" s="398"/>
      <c r="Q361" s="21"/>
      <c r="R361" s="398"/>
      <c r="S361" s="400"/>
      <c r="T361" s="24"/>
      <c r="U361" s="360" t="s">
        <v>238</v>
      </c>
      <c r="V361" s="30"/>
      <c r="X361" s="388" t="s">
        <v>238</v>
      </c>
      <c r="Y361" s="371"/>
      <c r="Z361" s="386">
        <f t="shared" si="34"/>
        <v>1</v>
      </c>
      <c r="AA361" s="380">
        <v>0</v>
      </c>
      <c r="AB361" s="380">
        <v>0</v>
      </c>
      <c r="AC361" s="380">
        <v>0</v>
      </c>
      <c r="AD361" s="379">
        <v>1</v>
      </c>
      <c r="AE361" s="379">
        <v>1</v>
      </c>
      <c r="AF361" s="379"/>
      <c r="AG361" s="380">
        <v>0</v>
      </c>
      <c r="AH361" s="380">
        <v>0</v>
      </c>
      <c r="AI361" s="380">
        <v>1</v>
      </c>
      <c r="AJ361" s="380">
        <v>1</v>
      </c>
      <c r="AL361" s="1" t="s">
        <v>780</v>
      </c>
    </row>
    <row r="362" spans="1:38" s="1" customFormat="1" ht="12.75" customHeight="1" x14ac:dyDescent="0.25">
      <c r="A362" s="355">
        <f>A361+1</f>
        <v>9</v>
      </c>
      <c r="B362" s="20" t="s">
        <v>265</v>
      </c>
      <c r="C362" s="665" t="s">
        <v>494</v>
      </c>
      <c r="D362" s="578"/>
      <c r="E362" s="578"/>
      <c r="F362" s="578"/>
      <c r="G362" s="578"/>
      <c r="H362" s="579"/>
      <c r="I362" s="641"/>
      <c r="J362" s="642"/>
      <c r="K362" s="360" t="s">
        <v>238</v>
      </c>
      <c r="L362" s="641"/>
      <c r="M362" s="642"/>
      <c r="N362" s="360" t="s">
        <v>238</v>
      </c>
      <c r="O362" s="661"/>
      <c r="P362" s="661"/>
      <c r="Q362" s="360" t="s">
        <v>238</v>
      </c>
      <c r="R362" s="641"/>
      <c r="S362" s="642"/>
      <c r="T362" s="360" t="s">
        <v>238</v>
      </c>
      <c r="U362" s="360" t="s">
        <v>238</v>
      </c>
      <c r="V362" s="360" t="s">
        <v>238</v>
      </c>
      <c r="W362" s="13"/>
      <c r="X362" s="388" t="s">
        <v>238</v>
      </c>
      <c r="Y362" s="371"/>
      <c r="Z362" s="386">
        <f t="shared" si="34"/>
        <v>1</v>
      </c>
      <c r="AA362" s="380">
        <v>0</v>
      </c>
      <c r="AB362" s="380">
        <v>0</v>
      </c>
      <c r="AC362" s="380">
        <v>0</v>
      </c>
      <c r="AD362" s="379">
        <v>1</v>
      </c>
      <c r="AE362" s="379">
        <v>1</v>
      </c>
      <c r="AF362" s="379"/>
      <c r="AG362" s="380">
        <v>0</v>
      </c>
      <c r="AH362" s="380">
        <v>0</v>
      </c>
      <c r="AI362" s="380">
        <v>0</v>
      </c>
      <c r="AJ362" s="380">
        <v>0</v>
      </c>
      <c r="AL362" s="1" t="s">
        <v>781</v>
      </c>
    </row>
    <row r="363" spans="1:38" s="1" customFormat="1" ht="12.75" customHeight="1" x14ac:dyDescent="0.25">
      <c r="A363" s="355">
        <f t="shared" si="35"/>
        <v>10</v>
      </c>
      <c r="B363" s="20" t="s">
        <v>266</v>
      </c>
      <c r="C363" s="665" t="s">
        <v>55</v>
      </c>
      <c r="D363" s="578"/>
      <c r="E363" s="578"/>
      <c r="F363" s="578"/>
      <c r="G363" s="578"/>
      <c r="H363" s="579"/>
      <c r="I363" s="641"/>
      <c r="J363" s="642"/>
      <c r="K363" s="360" t="s">
        <v>238</v>
      </c>
      <c r="L363" s="641"/>
      <c r="M363" s="642"/>
      <c r="N363" s="360" t="s">
        <v>238</v>
      </c>
      <c r="O363" s="661"/>
      <c r="P363" s="661"/>
      <c r="Q363" s="360" t="s">
        <v>238</v>
      </c>
      <c r="R363" s="641"/>
      <c r="S363" s="642"/>
      <c r="T363" s="360" t="s">
        <v>238</v>
      </c>
      <c r="U363" s="360" t="s">
        <v>238</v>
      </c>
      <c r="V363" s="360" t="s">
        <v>238</v>
      </c>
      <c r="W363" s="360" t="s">
        <v>238</v>
      </c>
      <c r="X363" s="388" t="s">
        <v>238</v>
      </c>
      <c r="Y363" s="371"/>
      <c r="Z363" s="386">
        <f t="shared" si="34"/>
        <v>1</v>
      </c>
      <c r="AA363" s="380">
        <v>0</v>
      </c>
      <c r="AB363" s="380">
        <v>0</v>
      </c>
      <c r="AC363" s="380">
        <v>0</v>
      </c>
      <c r="AD363" s="379">
        <v>1</v>
      </c>
      <c r="AE363" s="379">
        <v>1</v>
      </c>
      <c r="AF363" s="379"/>
      <c r="AG363" s="380">
        <v>0</v>
      </c>
      <c r="AH363" s="380">
        <v>0</v>
      </c>
      <c r="AI363" s="380">
        <v>0</v>
      </c>
      <c r="AJ363" s="380">
        <v>0</v>
      </c>
      <c r="AL363" s="1" t="s">
        <v>782</v>
      </c>
    </row>
    <row r="364" spans="1:38" s="1" customFormat="1" ht="12.75" customHeight="1" x14ac:dyDescent="0.25">
      <c r="A364" s="355">
        <f t="shared" si="35"/>
        <v>11</v>
      </c>
      <c r="B364" s="20" t="s">
        <v>267</v>
      </c>
      <c r="C364" s="665" t="s">
        <v>274</v>
      </c>
      <c r="D364" s="578"/>
      <c r="E364" s="578"/>
      <c r="F364" s="578"/>
      <c r="G364" s="578"/>
      <c r="H364" s="579"/>
      <c r="I364" s="641"/>
      <c r="J364" s="642"/>
      <c r="K364" s="360" t="s">
        <v>238</v>
      </c>
      <c r="L364" s="641"/>
      <c r="M364" s="642"/>
      <c r="N364" s="360" t="s">
        <v>238</v>
      </c>
      <c r="O364" s="661"/>
      <c r="P364" s="661"/>
      <c r="Q364" s="360" t="s">
        <v>238</v>
      </c>
      <c r="R364" s="641"/>
      <c r="S364" s="642"/>
      <c r="T364" s="360" t="s">
        <v>238</v>
      </c>
      <c r="U364" s="360" t="s">
        <v>238</v>
      </c>
      <c r="V364" s="360" t="s">
        <v>238</v>
      </c>
      <c r="W364" s="360" t="s">
        <v>238</v>
      </c>
      <c r="X364" s="388" t="s">
        <v>238</v>
      </c>
      <c r="Y364" s="371"/>
      <c r="Z364" s="386">
        <f t="shared" si="34"/>
        <v>1</v>
      </c>
      <c r="AA364" s="380">
        <v>0</v>
      </c>
      <c r="AB364" s="380">
        <v>0</v>
      </c>
      <c r="AC364" s="380">
        <v>0</v>
      </c>
      <c r="AD364" s="379">
        <v>1</v>
      </c>
      <c r="AE364" s="379">
        <v>1</v>
      </c>
      <c r="AF364" s="379"/>
      <c r="AG364" s="380">
        <v>0</v>
      </c>
      <c r="AH364" s="380">
        <v>0</v>
      </c>
      <c r="AI364" s="380">
        <v>0</v>
      </c>
      <c r="AJ364" s="380">
        <v>0</v>
      </c>
      <c r="AL364" s="1" t="s">
        <v>721</v>
      </c>
    </row>
    <row r="365" spans="1:38" s="1" customFormat="1" ht="12.75" customHeight="1" x14ac:dyDescent="0.25">
      <c r="A365" s="355">
        <f t="shared" si="35"/>
        <v>12</v>
      </c>
      <c r="B365" s="20" t="s">
        <v>268</v>
      </c>
      <c r="C365" s="665" t="s">
        <v>56</v>
      </c>
      <c r="D365" s="578"/>
      <c r="E365" s="578"/>
      <c r="F365" s="578"/>
      <c r="G365" s="578"/>
      <c r="H365" s="579"/>
      <c r="I365" s="641"/>
      <c r="J365" s="642"/>
      <c r="K365" s="360" t="s">
        <v>238</v>
      </c>
      <c r="L365" s="641"/>
      <c r="M365" s="642"/>
      <c r="N365" s="360" t="s">
        <v>238</v>
      </c>
      <c r="O365" s="661"/>
      <c r="P365" s="661"/>
      <c r="Q365" s="360" t="s">
        <v>238</v>
      </c>
      <c r="R365" s="641"/>
      <c r="S365" s="642"/>
      <c r="T365" s="360" t="s">
        <v>238</v>
      </c>
      <c r="U365" s="360" t="s">
        <v>238</v>
      </c>
      <c r="V365" s="360" t="s">
        <v>238</v>
      </c>
      <c r="W365" s="360" t="s">
        <v>238</v>
      </c>
      <c r="X365" s="388" t="s">
        <v>238</v>
      </c>
      <c r="Y365" s="371"/>
      <c r="Z365" s="386">
        <f t="shared" si="34"/>
        <v>1</v>
      </c>
      <c r="AA365" s="380">
        <v>0</v>
      </c>
      <c r="AB365" s="380">
        <v>0</v>
      </c>
      <c r="AC365" s="380">
        <v>0</v>
      </c>
      <c r="AD365" s="379">
        <v>1</v>
      </c>
      <c r="AE365" s="379">
        <v>1</v>
      </c>
      <c r="AF365" s="379"/>
      <c r="AG365" s="380">
        <v>0</v>
      </c>
      <c r="AH365" s="380">
        <v>0</v>
      </c>
      <c r="AI365" s="380">
        <v>0</v>
      </c>
      <c r="AJ365" s="380">
        <v>0</v>
      </c>
      <c r="AL365" s="1" t="s">
        <v>238</v>
      </c>
    </row>
    <row r="366" spans="1:38" s="1" customFormat="1" ht="12.75" customHeight="1" x14ac:dyDescent="0.25">
      <c r="A366" s="355">
        <f t="shared" si="35"/>
        <v>13</v>
      </c>
      <c r="B366" s="20" t="s">
        <v>269</v>
      </c>
      <c r="C366" s="665" t="s">
        <v>57</v>
      </c>
      <c r="D366" s="578"/>
      <c r="E366" s="578"/>
      <c r="F366" s="578"/>
      <c r="G366" s="578"/>
      <c r="H366" s="579"/>
      <c r="I366" s="641"/>
      <c r="J366" s="642"/>
      <c r="K366" s="360" t="s">
        <v>238</v>
      </c>
      <c r="L366" s="641"/>
      <c r="M366" s="642"/>
      <c r="N366" s="360" t="s">
        <v>238</v>
      </c>
      <c r="O366" s="661"/>
      <c r="P366" s="661"/>
      <c r="Q366" s="360" t="s">
        <v>238</v>
      </c>
      <c r="R366" s="641"/>
      <c r="S366" s="642"/>
      <c r="T366" s="360" t="s">
        <v>238</v>
      </c>
      <c r="U366" s="360" t="s">
        <v>238</v>
      </c>
      <c r="V366" s="360" t="s">
        <v>238</v>
      </c>
      <c r="W366" s="360" t="s">
        <v>238</v>
      </c>
      <c r="X366" s="388" t="s">
        <v>238</v>
      </c>
      <c r="Y366" s="371"/>
      <c r="Z366" s="386">
        <f t="shared" si="34"/>
        <v>1</v>
      </c>
      <c r="AA366" s="380">
        <v>0</v>
      </c>
      <c r="AB366" s="380">
        <v>0</v>
      </c>
      <c r="AC366" s="380">
        <v>0</v>
      </c>
      <c r="AD366" s="379">
        <v>1</v>
      </c>
      <c r="AE366" s="379">
        <v>1</v>
      </c>
      <c r="AF366" s="379"/>
      <c r="AG366" s="380">
        <v>0</v>
      </c>
      <c r="AH366" s="380">
        <v>0</v>
      </c>
      <c r="AI366" s="380">
        <v>0</v>
      </c>
      <c r="AJ366" s="380">
        <v>0</v>
      </c>
    </row>
    <row r="367" spans="1:38" s="1" customFormat="1" ht="12.75" customHeight="1" x14ac:dyDescent="0.25">
      <c r="A367" s="355">
        <f t="shared" si="35"/>
        <v>14</v>
      </c>
      <c r="B367" s="20" t="s">
        <v>270</v>
      </c>
      <c r="C367" s="665" t="s">
        <v>492</v>
      </c>
      <c r="D367" s="578"/>
      <c r="E367" s="578"/>
      <c r="F367" s="578"/>
      <c r="G367" s="578"/>
      <c r="H367" s="579"/>
      <c r="I367" s="641"/>
      <c r="J367" s="642"/>
      <c r="K367" s="360" t="s">
        <v>238</v>
      </c>
      <c r="L367" s="641"/>
      <c r="M367" s="642"/>
      <c r="N367" s="360" t="s">
        <v>238</v>
      </c>
      <c r="O367" s="31"/>
      <c r="P367" s="28"/>
      <c r="Q367" s="21"/>
      <c r="R367" s="398"/>
      <c r="S367" s="398"/>
      <c r="T367" s="21"/>
      <c r="U367" s="360" t="s">
        <v>238</v>
      </c>
      <c r="V367" s="360" t="s">
        <v>238</v>
      </c>
      <c r="X367" s="388" t="s">
        <v>238</v>
      </c>
      <c r="Y367" s="371"/>
      <c r="Z367" s="386">
        <f t="shared" si="34"/>
        <v>1</v>
      </c>
      <c r="AA367" s="380">
        <v>0</v>
      </c>
      <c r="AB367" s="380">
        <v>0</v>
      </c>
      <c r="AC367" s="380">
        <v>0</v>
      </c>
      <c r="AD367" s="379">
        <v>1</v>
      </c>
      <c r="AE367" s="379">
        <v>1</v>
      </c>
      <c r="AF367" s="379"/>
      <c r="AG367" s="380">
        <v>0</v>
      </c>
      <c r="AH367" s="380">
        <v>0</v>
      </c>
      <c r="AI367" s="380">
        <v>0</v>
      </c>
      <c r="AJ367" s="380">
        <v>0</v>
      </c>
      <c r="AL367" s="1" t="s">
        <v>304</v>
      </c>
    </row>
    <row r="368" spans="1:38" s="1" customFormat="1" ht="12.75" customHeight="1" x14ac:dyDescent="0.25">
      <c r="A368" s="355">
        <f t="shared" si="35"/>
        <v>15</v>
      </c>
      <c r="B368" s="20" t="s">
        <v>271</v>
      </c>
      <c r="C368" s="665" t="s">
        <v>493</v>
      </c>
      <c r="D368" s="578"/>
      <c r="E368" s="578"/>
      <c r="F368" s="578"/>
      <c r="G368" s="578"/>
      <c r="H368" s="579"/>
      <c r="I368" s="641"/>
      <c r="J368" s="642"/>
      <c r="K368" s="360" t="s">
        <v>238</v>
      </c>
      <c r="L368" s="641"/>
      <c r="M368" s="642"/>
      <c r="N368" s="360" t="s">
        <v>238</v>
      </c>
      <c r="O368" s="32"/>
      <c r="P368" s="21"/>
      <c r="Q368" s="21"/>
      <c r="R368" s="400"/>
      <c r="S368" s="400"/>
      <c r="T368" s="24"/>
      <c r="U368" s="360" t="s">
        <v>238</v>
      </c>
      <c r="V368" s="360" t="s">
        <v>238</v>
      </c>
      <c r="X368" s="388" t="s">
        <v>238</v>
      </c>
      <c r="Y368" s="371"/>
      <c r="Z368" s="386">
        <f t="shared" si="34"/>
        <v>1</v>
      </c>
      <c r="AA368" s="380">
        <v>0</v>
      </c>
      <c r="AB368" s="380">
        <v>0</v>
      </c>
      <c r="AC368" s="380">
        <v>0</v>
      </c>
      <c r="AD368" s="379">
        <v>1</v>
      </c>
      <c r="AE368" s="379">
        <v>1</v>
      </c>
      <c r="AF368" s="379"/>
      <c r="AG368" s="380">
        <v>0</v>
      </c>
      <c r="AH368" s="380">
        <v>0</v>
      </c>
      <c r="AI368" s="380">
        <v>0</v>
      </c>
      <c r="AJ368" s="380">
        <v>0</v>
      </c>
      <c r="AL368" s="1" t="s">
        <v>303</v>
      </c>
    </row>
    <row r="369" spans="1:39" s="1" customFormat="1" ht="12.75" customHeight="1" x14ac:dyDescent="0.25">
      <c r="A369" s="355">
        <f t="shared" si="35"/>
        <v>16</v>
      </c>
      <c r="B369" s="20" t="s">
        <v>275</v>
      </c>
      <c r="C369" s="665" t="s">
        <v>273</v>
      </c>
      <c r="D369" s="578"/>
      <c r="E369" s="578"/>
      <c r="F369" s="578"/>
      <c r="G369" s="578"/>
      <c r="H369" s="662"/>
      <c r="I369" s="21"/>
      <c r="J369" s="21"/>
      <c r="K369" s="21"/>
      <c r="L369" s="641"/>
      <c r="M369" s="642"/>
      <c r="N369" s="360" t="s">
        <v>238</v>
      </c>
      <c r="O369" s="32"/>
      <c r="P369" s="21"/>
      <c r="Q369" s="21"/>
      <c r="R369" s="641"/>
      <c r="S369" s="642"/>
      <c r="T369" s="360" t="s">
        <v>238</v>
      </c>
      <c r="U369" s="360" t="s">
        <v>238</v>
      </c>
      <c r="V369" s="33"/>
      <c r="W369" s="360" t="s">
        <v>238</v>
      </c>
      <c r="X369" s="388" t="s">
        <v>238</v>
      </c>
      <c r="Y369" s="371"/>
      <c r="Z369" s="386">
        <f t="shared" si="34"/>
        <v>1</v>
      </c>
      <c r="AA369" s="380">
        <v>0</v>
      </c>
      <c r="AB369" s="380">
        <v>0</v>
      </c>
      <c r="AC369" s="380">
        <v>0</v>
      </c>
      <c r="AD369" s="379">
        <v>1</v>
      </c>
      <c r="AE369" s="379">
        <v>1</v>
      </c>
      <c r="AF369" s="379"/>
      <c r="AG369" s="380">
        <v>0</v>
      </c>
      <c r="AH369" s="380">
        <v>0</v>
      </c>
      <c r="AI369" s="380">
        <v>1</v>
      </c>
      <c r="AJ369" s="380">
        <v>1</v>
      </c>
      <c r="AL369" s="1" t="s">
        <v>721</v>
      </c>
    </row>
    <row r="370" spans="1:39" s="1" customFormat="1" ht="12.75" customHeight="1" x14ac:dyDescent="0.25">
      <c r="A370" s="355">
        <f t="shared" si="35"/>
        <v>17</v>
      </c>
      <c r="B370" s="20" t="s">
        <v>276</v>
      </c>
      <c r="C370" s="665" t="s">
        <v>279</v>
      </c>
      <c r="D370" s="578"/>
      <c r="E370" s="578"/>
      <c r="F370" s="578"/>
      <c r="G370" s="578"/>
      <c r="H370" s="662"/>
      <c r="I370" s="21"/>
      <c r="J370" s="21"/>
      <c r="K370" s="21"/>
      <c r="L370" s="641"/>
      <c r="M370" s="642"/>
      <c r="N370" s="360" t="s">
        <v>238</v>
      </c>
      <c r="O370" s="32"/>
      <c r="P370" s="21"/>
      <c r="Q370" s="21"/>
      <c r="R370" s="641"/>
      <c r="S370" s="642"/>
      <c r="T370" s="360" t="s">
        <v>238</v>
      </c>
      <c r="U370" s="360" t="s">
        <v>238</v>
      </c>
      <c r="V370" s="34"/>
      <c r="W370" s="360" t="s">
        <v>238</v>
      </c>
      <c r="X370" s="388" t="s">
        <v>238</v>
      </c>
      <c r="Y370" s="371"/>
      <c r="Z370" s="386">
        <f t="shared" si="34"/>
        <v>1</v>
      </c>
      <c r="AA370" s="380">
        <v>0</v>
      </c>
      <c r="AB370" s="380">
        <v>0</v>
      </c>
      <c r="AC370" s="380">
        <v>0</v>
      </c>
      <c r="AD370" s="379">
        <v>1</v>
      </c>
      <c r="AE370" s="379">
        <v>1</v>
      </c>
      <c r="AF370" s="379"/>
      <c r="AG370" s="380">
        <v>0</v>
      </c>
      <c r="AH370" s="380">
        <v>0</v>
      </c>
      <c r="AI370" s="380">
        <v>1</v>
      </c>
      <c r="AJ370" s="380">
        <v>1</v>
      </c>
      <c r="AL370" s="1" t="s">
        <v>238</v>
      </c>
    </row>
    <row r="371" spans="1:39" s="1" customFormat="1" ht="12.75" customHeight="1" x14ac:dyDescent="0.25">
      <c r="A371" s="355">
        <f t="shared" si="35"/>
        <v>18</v>
      </c>
      <c r="B371" s="20" t="s">
        <v>277</v>
      </c>
      <c r="C371" s="665" t="s">
        <v>58</v>
      </c>
      <c r="D371" s="578"/>
      <c r="E371" s="578"/>
      <c r="F371" s="578"/>
      <c r="G371" s="578"/>
      <c r="H371" s="662"/>
      <c r="I371" s="21"/>
      <c r="J371" s="21"/>
      <c r="K371" s="21"/>
      <c r="L371" s="641"/>
      <c r="M371" s="642"/>
      <c r="N371" s="360" t="s">
        <v>238</v>
      </c>
      <c r="O371" s="32"/>
      <c r="P371" s="21"/>
      <c r="Q371" s="21"/>
      <c r="R371" s="641"/>
      <c r="S371" s="642"/>
      <c r="T371" s="360" t="s">
        <v>238</v>
      </c>
      <c r="U371" s="360" t="s">
        <v>238</v>
      </c>
      <c r="V371" s="34"/>
      <c r="W371" s="360" t="s">
        <v>238</v>
      </c>
      <c r="X371" s="388" t="s">
        <v>238</v>
      </c>
      <c r="Y371" s="371"/>
      <c r="Z371" s="386">
        <f t="shared" si="34"/>
        <v>1</v>
      </c>
      <c r="AA371" s="380">
        <v>0</v>
      </c>
      <c r="AB371" s="380">
        <v>0</v>
      </c>
      <c r="AC371" s="380">
        <v>0</v>
      </c>
      <c r="AD371" s="379">
        <v>1</v>
      </c>
      <c r="AE371" s="379">
        <v>1</v>
      </c>
      <c r="AF371" s="379"/>
      <c r="AG371" s="380">
        <v>0</v>
      </c>
      <c r="AH371" s="380">
        <v>0</v>
      </c>
      <c r="AI371" s="380">
        <v>1</v>
      </c>
      <c r="AJ371" s="380">
        <v>1</v>
      </c>
      <c r="AL371" s="1" t="s">
        <v>785</v>
      </c>
    </row>
    <row r="372" spans="1:39" s="1" customFormat="1" ht="12.75" customHeight="1" x14ac:dyDescent="0.25">
      <c r="A372" s="355">
        <f t="shared" si="35"/>
        <v>19</v>
      </c>
      <c r="B372" s="20" t="s">
        <v>391</v>
      </c>
      <c r="C372" s="665" t="s">
        <v>224</v>
      </c>
      <c r="D372" s="578"/>
      <c r="E372" s="578"/>
      <c r="F372" s="578"/>
      <c r="G372" s="578"/>
      <c r="H372" s="662"/>
      <c r="I372" s="21"/>
      <c r="J372" s="21"/>
      <c r="K372" s="21"/>
      <c r="L372" s="641"/>
      <c r="M372" s="642"/>
      <c r="N372" s="360" t="s">
        <v>238</v>
      </c>
      <c r="O372" s="32"/>
      <c r="P372" s="21"/>
      <c r="Q372" s="21"/>
      <c r="R372" s="641"/>
      <c r="S372" s="642"/>
      <c r="T372" s="360" t="s">
        <v>238</v>
      </c>
      <c r="U372" s="360" t="s">
        <v>238</v>
      </c>
      <c r="V372" s="35"/>
      <c r="W372" s="360" t="s">
        <v>238</v>
      </c>
      <c r="X372" s="388" t="s">
        <v>238</v>
      </c>
      <c r="Y372" s="371"/>
      <c r="Z372" s="386">
        <f t="shared" si="34"/>
        <v>1</v>
      </c>
      <c r="AA372" s="380">
        <v>0</v>
      </c>
      <c r="AB372" s="380">
        <v>0</v>
      </c>
      <c r="AC372" s="380">
        <v>0</v>
      </c>
      <c r="AD372" s="379">
        <v>1</v>
      </c>
      <c r="AE372" s="379">
        <v>1</v>
      </c>
      <c r="AF372" s="379"/>
      <c r="AG372" s="380">
        <v>0</v>
      </c>
      <c r="AH372" s="380">
        <v>0</v>
      </c>
      <c r="AI372" s="380">
        <v>1</v>
      </c>
      <c r="AJ372" s="380">
        <v>1</v>
      </c>
      <c r="AL372" s="1" t="s">
        <v>216</v>
      </c>
    </row>
    <row r="373" spans="1:39" s="1" customFormat="1" ht="12.75" customHeight="1" x14ac:dyDescent="0.25">
      <c r="A373" s="355">
        <f t="shared" si="35"/>
        <v>20</v>
      </c>
      <c r="B373" s="5"/>
      <c r="C373" s="578" t="s">
        <v>820</v>
      </c>
      <c r="D373" s="578"/>
      <c r="E373" s="578"/>
      <c r="F373" s="578"/>
      <c r="G373" s="578"/>
      <c r="H373" s="578"/>
      <c r="I373" s="578"/>
      <c r="J373" s="579"/>
      <c r="K373" s="52" t="str">
        <f>IF((K355="si")*AND(K357="si")*AND(K358="si")*AND(K360="si")*AND(K361="si")*AND(K362="si")*AND(K363="si")*AND(K364="si")*AND(K365="si")*AND(K366="si")*AND(K367="si")*AND(K368="si")*AND(K369="si")*AND(K370="si")*AND(K371="si")*AND(K372="si"),"si","no")</f>
        <v>no</v>
      </c>
      <c r="L373" s="21"/>
      <c r="M373" s="21"/>
      <c r="N373" s="52" t="str">
        <f>IF((N354="si")*AND(N356="si")*AND(N357="si")*AND(N359="si")*AND(N361="si")*AND(N362="si")*AND(N363="si")*AND(N364="si")*AND(N365="si")*AND(N366="si")*AND(N367="si")*AND(N368="si")*AND(N369="si")*AND(N370="si")*AND(N371="si")*AND(N372="si"),"si","no")</f>
        <v>no</v>
      </c>
      <c r="O373" s="21"/>
      <c r="P373" s="21"/>
      <c r="Q373" s="52" t="str">
        <f>IF((Q355="si")*AND(Q357="si")*AND(Q360="si")*AND(Q362="si")*AND(Q363="si")*AND(Q364="si")*AND(Q365="si")*AND(Q366="si")*AND(Q369="si")*AND(Q370="si")*AND(Q371="si")*AND(Q372="si"),"si","no")</f>
        <v>no</v>
      </c>
      <c r="R373" s="21"/>
      <c r="S373" s="21"/>
      <c r="T373" s="52" t="str">
        <f>IF((T354="si")*AND(T356="si")*AND(T357="si")*AND(T359="si")*AND(T362="si")*AND(T363="si")*AND(T364="si")*AND(T365="si")*AND(T366="si")*AND(T369="si")*AND(T370="si")*AND(T371="si")*AND(T372="si"),"si","no")</f>
        <v>no</v>
      </c>
      <c r="U373" s="52" t="str">
        <f>IF((U356="si")*AND(U357="si")*AND(U358="si")*AND(U359="si")*AND(U360="si")*AND(U361="si")*AND(U362="si")*AND(U363="si")*AND(U364="si")*AND(U365="si")*AND(U366="si")*AND(U367="si")*AND(U368="si")*AND(U369="si")*AND(U370="si")*AND(U371="si")*AND(U372="si"),"si","no")</f>
        <v>no</v>
      </c>
      <c r="V373" s="52" t="str">
        <f>IF((V355="si")*AND(V357="si")*AND(V358="si")*AND(V362="si")*AND(V363="si")*AND(V364="si")*AND(V365="si")*AND(V366="si")*AND(V367="si")*AND(V368="si"),"si","no")</f>
        <v>no</v>
      </c>
      <c r="W373" s="52" t="str">
        <f>IF((W354="si")*AND(W356="si")*AND(W357="si")*AND(W359="si")*AND(W363="si")*AND(W364="si")*AND(W365="si")*AND(W366="si")*AND(W369="si")*AND(W370="si")*AND(W371="si")*AND(W372="si"),"si","no")</f>
        <v>no</v>
      </c>
      <c r="X373" s="21"/>
      <c r="Y373" s="371"/>
      <c r="Z373" s="386">
        <f t="shared" si="34"/>
        <v>1</v>
      </c>
      <c r="AA373" s="380">
        <v>0</v>
      </c>
      <c r="AB373" s="380">
        <v>0</v>
      </c>
      <c r="AC373" s="380">
        <v>0</v>
      </c>
      <c r="AD373" s="379">
        <v>1</v>
      </c>
      <c r="AE373" s="379">
        <v>1</v>
      </c>
      <c r="AF373" s="379"/>
      <c r="AG373" s="380">
        <v>0</v>
      </c>
      <c r="AH373" s="380">
        <v>0</v>
      </c>
      <c r="AI373" s="380">
        <v>1</v>
      </c>
      <c r="AJ373" s="380">
        <v>1</v>
      </c>
      <c r="AL373" s="1" t="s">
        <v>721</v>
      </c>
    </row>
    <row r="374" spans="1:39" s="1" customFormat="1" ht="12.75" customHeight="1" x14ac:dyDescent="0.25">
      <c r="A374" s="369"/>
      <c r="B374" s="371"/>
      <c r="C374" s="679"/>
      <c r="D374" s="679"/>
      <c r="E374" s="679"/>
      <c r="F374" s="679"/>
      <c r="G374" s="679"/>
      <c r="H374" s="679"/>
      <c r="I374" s="679"/>
      <c r="J374" s="679"/>
      <c r="K374" s="679"/>
      <c r="L374" s="679"/>
      <c r="M374" s="679"/>
      <c r="N374" s="679"/>
      <c r="O374" s="679"/>
      <c r="P374" s="679"/>
      <c r="Q374" s="679"/>
      <c r="R374" s="679"/>
      <c r="S374" s="679"/>
      <c r="T374" s="679"/>
      <c r="U374" s="679"/>
      <c r="V374" s="679"/>
      <c r="W374" s="679"/>
      <c r="X374" s="679"/>
      <c r="Y374" s="371"/>
      <c r="Z374" s="386" t="s">
        <v>2</v>
      </c>
      <c r="AA374" s="380" t="s">
        <v>2</v>
      </c>
      <c r="AB374" s="380" t="s">
        <v>2</v>
      </c>
      <c r="AC374" s="379" t="s">
        <v>2</v>
      </c>
      <c r="AD374" s="379" t="s">
        <v>2</v>
      </c>
      <c r="AE374" s="379" t="s">
        <v>2</v>
      </c>
      <c r="AF374" s="379"/>
      <c r="AG374" s="380" t="s">
        <v>2</v>
      </c>
      <c r="AH374" s="380" t="s">
        <v>2</v>
      </c>
      <c r="AI374" s="380" t="s">
        <v>2</v>
      </c>
      <c r="AJ374" s="380" t="s">
        <v>2</v>
      </c>
      <c r="AL374" s="1" t="s">
        <v>238</v>
      </c>
    </row>
    <row r="375" spans="1:39" s="543" customFormat="1" ht="12.75" customHeight="1" x14ac:dyDescent="0.25">
      <c r="Y375" s="545"/>
      <c r="Z375" s="546" t="s">
        <v>2</v>
      </c>
      <c r="AA375" s="547" t="s">
        <v>2</v>
      </c>
      <c r="AB375" s="547" t="s">
        <v>2</v>
      </c>
      <c r="AC375" s="548" t="s">
        <v>2</v>
      </c>
      <c r="AD375" s="548" t="s">
        <v>2</v>
      </c>
      <c r="AE375" s="548" t="s">
        <v>2</v>
      </c>
      <c r="AF375" s="548"/>
      <c r="AG375" s="547" t="s">
        <v>2</v>
      </c>
      <c r="AH375" s="547" t="s">
        <v>2</v>
      </c>
      <c r="AI375" s="547" t="s">
        <v>2</v>
      </c>
      <c r="AJ375" s="547" t="s">
        <v>2</v>
      </c>
      <c r="AL375" s="549" t="s">
        <v>785</v>
      </c>
      <c r="AM375" s="549"/>
    </row>
    <row r="376" spans="1:39" s="46" customFormat="1" ht="12.75" customHeight="1" x14ac:dyDescent="0.25">
      <c r="Y376" s="45"/>
      <c r="Z376" s="386" t="s">
        <v>2</v>
      </c>
      <c r="AA376" s="380" t="s">
        <v>2</v>
      </c>
      <c r="AB376" s="380" t="s">
        <v>2</v>
      </c>
      <c r="AC376" s="379" t="s">
        <v>2</v>
      </c>
      <c r="AD376" s="379" t="s">
        <v>2</v>
      </c>
      <c r="AE376" s="379" t="s">
        <v>2</v>
      </c>
      <c r="AF376" s="379"/>
      <c r="AG376" s="380" t="s">
        <v>2</v>
      </c>
      <c r="AH376" s="380" t="s">
        <v>2</v>
      </c>
      <c r="AI376" s="380" t="s">
        <v>2</v>
      </c>
      <c r="AJ376" s="380" t="s">
        <v>2</v>
      </c>
      <c r="AL376" s="1" t="s">
        <v>786</v>
      </c>
      <c r="AM376" s="1"/>
    </row>
    <row r="377" spans="1:39" s="1" customFormat="1" ht="12.75" customHeight="1" x14ac:dyDescent="0.25">
      <c r="Y377" s="371"/>
      <c r="Z377" s="386">
        <f t="shared" ref="Z377:Z385" si="36">IF(Z$3=0,0,IF(Z$3=1,AA377,IF(Z$3=2,AB377,IF(Z$3=3,AC377,IF(Z$3=4,AD377,IF(Z$3=5,AE377,IF(Z$3=6,AG377,IF(Z$3=7,AH377,IF(Z$3=8,AI377,IF(Z$3=9,AJ377,0))))))))))</f>
        <v>1</v>
      </c>
      <c r="AA377" s="379">
        <v>1</v>
      </c>
      <c r="AB377" s="379">
        <v>1</v>
      </c>
      <c r="AC377" s="379">
        <v>1</v>
      </c>
      <c r="AD377" s="379">
        <v>1</v>
      </c>
      <c r="AE377" s="379">
        <v>1</v>
      </c>
      <c r="AF377" s="379"/>
      <c r="AG377" s="379">
        <v>1</v>
      </c>
      <c r="AH377" s="379">
        <v>1</v>
      </c>
      <c r="AI377" s="379">
        <v>1</v>
      </c>
      <c r="AJ377" s="379">
        <v>1</v>
      </c>
      <c r="AL377" s="1" t="s">
        <v>721</v>
      </c>
    </row>
    <row r="378" spans="1:39" s="1" customFormat="1" ht="12.75" customHeight="1" x14ac:dyDescent="0.25">
      <c r="Y378" s="371"/>
      <c r="Z378" s="386">
        <f t="shared" si="36"/>
        <v>1</v>
      </c>
      <c r="AA378" s="379">
        <v>1</v>
      </c>
      <c r="AB378" s="379">
        <v>1</v>
      </c>
      <c r="AC378" s="379">
        <v>1</v>
      </c>
      <c r="AD378" s="379">
        <v>1</v>
      </c>
      <c r="AE378" s="379">
        <v>1</v>
      </c>
      <c r="AF378" s="379"/>
      <c r="AG378" s="379">
        <v>1</v>
      </c>
      <c r="AH378" s="379">
        <v>1</v>
      </c>
      <c r="AI378" s="379">
        <v>1</v>
      </c>
      <c r="AJ378" s="379">
        <v>1</v>
      </c>
      <c r="AL378" s="1" t="s">
        <v>238</v>
      </c>
    </row>
    <row r="379" spans="1:39" s="1" customFormat="1" ht="12.75" customHeight="1" x14ac:dyDescent="0.25">
      <c r="Y379" s="371"/>
      <c r="Z379" s="386">
        <f t="shared" si="36"/>
        <v>1</v>
      </c>
      <c r="AA379" s="379">
        <v>0</v>
      </c>
      <c r="AB379" s="379">
        <v>1</v>
      </c>
      <c r="AC379" s="379">
        <v>1</v>
      </c>
      <c r="AD379" s="379">
        <v>1</v>
      </c>
      <c r="AE379" s="379">
        <v>1</v>
      </c>
      <c r="AF379" s="379"/>
      <c r="AG379" s="379">
        <v>0</v>
      </c>
      <c r="AH379" s="379">
        <v>0</v>
      </c>
      <c r="AI379" s="379">
        <v>0</v>
      </c>
      <c r="AJ379" s="379">
        <v>0</v>
      </c>
      <c r="AL379" s="366"/>
    </row>
    <row r="380" spans="1:39" s="1" customFormat="1" ht="12.75" customHeight="1" x14ac:dyDescent="0.25">
      <c r="Y380" s="371"/>
      <c r="Z380" s="386">
        <f t="shared" si="36"/>
        <v>1</v>
      </c>
      <c r="AA380" s="379">
        <v>0</v>
      </c>
      <c r="AB380" s="379">
        <v>1</v>
      </c>
      <c r="AC380" s="379">
        <v>1</v>
      </c>
      <c r="AD380" s="379">
        <v>1</v>
      </c>
      <c r="AE380" s="379">
        <v>1</v>
      </c>
      <c r="AF380" s="379"/>
      <c r="AG380" s="379">
        <v>0</v>
      </c>
      <c r="AH380" s="379">
        <v>0</v>
      </c>
      <c r="AI380" s="379">
        <v>0</v>
      </c>
      <c r="AJ380" s="379">
        <v>0</v>
      </c>
      <c r="AL380" s="366"/>
    </row>
    <row r="381" spans="1:39" s="1" customFormat="1" ht="12.75" customHeight="1" x14ac:dyDescent="0.25">
      <c r="Y381" s="371"/>
      <c r="Z381" s="386">
        <f t="shared" si="36"/>
        <v>1</v>
      </c>
      <c r="AA381" s="379">
        <v>0</v>
      </c>
      <c r="AB381" s="379">
        <v>0</v>
      </c>
      <c r="AC381" s="379">
        <v>1</v>
      </c>
      <c r="AD381" s="379">
        <v>1</v>
      </c>
      <c r="AE381" s="379">
        <v>1</v>
      </c>
      <c r="AF381" s="379"/>
      <c r="AG381" s="379">
        <v>0</v>
      </c>
      <c r="AH381" s="379">
        <v>0</v>
      </c>
      <c r="AI381" s="379">
        <v>0</v>
      </c>
      <c r="AJ381" s="379">
        <v>0</v>
      </c>
      <c r="AL381" s="366"/>
    </row>
    <row r="382" spans="1:39" s="1" customFormat="1" ht="12.75" customHeight="1" x14ac:dyDescent="0.25">
      <c r="Y382" s="371"/>
      <c r="Z382" s="386">
        <f t="shared" si="36"/>
        <v>1</v>
      </c>
      <c r="AA382" s="379">
        <v>1</v>
      </c>
      <c r="AB382" s="379">
        <v>1</v>
      </c>
      <c r="AC382" s="379">
        <v>1</v>
      </c>
      <c r="AD382" s="379">
        <v>1</v>
      </c>
      <c r="AE382" s="379">
        <v>1</v>
      </c>
      <c r="AF382" s="379"/>
      <c r="AG382" s="379">
        <v>1</v>
      </c>
      <c r="AH382" s="379">
        <v>1</v>
      </c>
      <c r="AI382" s="379">
        <v>1</v>
      </c>
      <c r="AJ382" s="379">
        <v>1</v>
      </c>
      <c r="AL382" s="366"/>
    </row>
    <row r="383" spans="1:39" s="1" customFormat="1" ht="12.75" customHeight="1" x14ac:dyDescent="0.25">
      <c r="A383" s="540"/>
      <c r="B383" s="541" t="s">
        <v>712</v>
      </c>
      <c r="C383" s="637" t="s">
        <v>278</v>
      </c>
      <c r="D383" s="637"/>
      <c r="E383" s="637"/>
      <c r="F383" s="637"/>
      <c r="G383" s="637"/>
      <c r="H383" s="637"/>
      <c r="I383" s="637"/>
      <c r="J383" s="637"/>
      <c r="K383" s="637"/>
      <c r="L383" s="637"/>
      <c r="M383" s="541"/>
      <c r="N383" s="542"/>
      <c r="O383" s="542"/>
      <c r="P383" s="542"/>
      <c r="Q383" s="542"/>
      <c r="R383" s="542"/>
      <c r="S383" s="543"/>
      <c r="T383" s="543"/>
      <c r="U383" s="543"/>
      <c r="V383" s="544"/>
      <c r="W383" s="544"/>
      <c r="X383" s="953" t="s">
        <v>716</v>
      </c>
      <c r="Y383" s="371"/>
      <c r="Z383" s="386">
        <f t="shared" si="36"/>
        <v>1</v>
      </c>
      <c r="AA383" s="379">
        <v>0</v>
      </c>
      <c r="AB383" s="379">
        <v>1</v>
      </c>
      <c r="AC383" s="379">
        <v>1</v>
      </c>
      <c r="AD383" s="379">
        <v>1</v>
      </c>
      <c r="AE383" s="379">
        <v>1</v>
      </c>
      <c r="AF383" s="379"/>
      <c r="AG383" s="379">
        <v>1</v>
      </c>
      <c r="AH383" s="379">
        <v>1</v>
      </c>
      <c r="AI383" s="379">
        <v>1</v>
      </c>
      <c r="AJ383" s="379">
        <v>1</v>
      </c>
      <c r="AL383" s="366"/>
    </row>
    <row r="384" spans="1:39" s="1" customFormat="1" ht="12.75" customHeight="1" x14ac:dyDescent="0.25">
      <c r="A384" s="48"/>
      <c r="B384" s="347"/>
      <c r="C384" s="364"/>
      <c r="D384" s="364"/>
      <c r="E384" s="364"/>
      <c r="F384" s="364"/>
      <c r="G384" s="364"/>
      <c r="H384" s="364"/>
      <c r="I384" s="364"/>
      <c r="J384" s="364"/>
      <c r="K384" s="364"/>
      <c r="L384" s="364"/>
      <c r="M384" s="347"/>
      <c r="N384" s="349"/>
      <c r="O384" s="349"/>
      <c r="P384" s="349"/>
      <c r="Q384" s="349"/>
      <c r="R384" s="349"/>
      <c r="S384" s="46"/>
      <c r="T384" s="46"/>
      <c r="U384" s="46"/>
      <c r="V384" s="5"/>
      <c r="W384" s="5"/>
      <c r="X384" s="954"/>
      <c r="Y384" s="371"/>
      <c r="Z384" s="386">
        <f t="shared" si="36"/>
        <v>1</v>
      </c>
      <c r="AA384" s="379">
        <v>0</v>
      </c>
      <c r="AB384" s="379">
        <v>1</v>
      </c>
      <c r="AC384" s="379">
        <v>1</v>
      </c>
      <c r="AD384" s="379">
        <v>1</v>
      </c>
      <c r="AE384" s="379">
        <v>1</v>
      </c>
      <c r="AF384" s="379"/>
      <c r="AG384" s="379">
        <v>1</v>
      </c>
      <c r="AH384" s="379">
        <v>0</v>
      </c>
      <c r="AI384" s="379">
        <v>0</v>
      </c>
      <c r="AJ384" s="379">
        <v>0</v>
      </c>
      <c r="AL384" s="366"/>
    </row>
    <row r="385" spans="1:38" s="1" customFormat="1" ht="12.75" customHeight="1" x14ac:dyDescent="0.25">
      <c r="A385" s="369">
        <v>1</v>
      </c>
      <c r="B385" s="20" t="s">
        <v>248</v>
      </c>
      <c r="C385" s="665" t="s">
        <v>240</v>
      </c>
      <c r="D385" s="662"/>
      <c r="E385" s="662"/>
      <c r="F385" s="662"/>
      <c r="G385" s="662"/>
      <c r="H385" s="662"/>
      <c r="I385" s="662"/>
      <c r="J385" s="662"/>
      <c r="K385" s="662"/>
      <c r="L385" s="662"/>
      <c r="M385" s="662"/>
      <c r="N385" s="662"/>
      <c r="O385" s="662"/>
      <c r="P385" s="662"/>
      <c r="Q385" s="662"/>
      <c r="R385" s="662"/>
      <c r="S385" s="662"/>
      <c r="T385" s="662"/>
      <c r="U385" s="662"/>
      <c r="V385" s="662"/>
      <c r="W385" s="579"/>
      <c r="X385" s="388" t="s">
        <v>238</v>
      </c>
      <c r="Y385" s="371"/>
      <c r="Z385" s="386">
        <f t="shared" si="36"/>
        <v>1</v>
      </c>
      <c r="AA385" s="379">
        <v>1</v>
      </c>
      <c r="AB385" s="379">
        <v>1</v>
      </c>
      <c r="AC385" s="379">
        <v>1</v>
      </c>
      <c r="AD385" s="379">
        <v>1</v>
      </c>
      <c r="AE385" s="379">
        <v>1</v>
      </c>
      <c r="AF385" s="379"/>
      <c r="AG385" s="379">
        <v>1</v>
      </c>
      <c r="AH385" s="379">
        <v>1</v>
      </c>
      <c r="AI385" s="379">
        <v>1</v>
      </c>
      <c r="AJ385" s="379">
        <v>1</v>
      </c>
      <c r="AL385" s="366"/>
    </row>
    <row r="386" spans="1:38" ht="12.75" customHeight="1" x14ac:dyDescent="0.25">
      <c r="A386" s="369">
        <f>A385+1</f>
        <v>2</v>
      </c>
      <c r="B386" s="20" t="s">
        <v>249</v>
      </c>
      <c r="C386" s="665" t="s">
        <v>241</v>
      </c>
      <c r="D386" s="662"/>
      <c r="E386" s="662"/>
      <c r="F386" s="662"/>
      <c r="G386" s="662"/>
      <c r="H386" s="662"/>
      <c r="I386" s="662"/>
      <c r="J386" s="662"/>
      <c r="K386" s="662"/>
      <c r="L386" s="662"/>
      <c r="M386" s="662"/>
      <c r="N386" s="662"/>
      <c r="O386" s="662"/>
      <c r="P386" s="662"/>
      <c r="Q386" s="662"/>
      <c r="R386" s="662"/>
      <c r="S386" s="662"/>
      <c r="T386" s="662"/>
      <c r="U386" s="662"/>
      <c r="V386" s="662"/>
      <c r="W386" s="579"/>
      <c r="X386" s="388" t="s">
        <v>238</v>
      </c>
      <c r="AA386" s="376">
        <f t="shared" ref="AA386:AE388" si="37">COUNTIF(AA$7:AA$385,$AK386)</f>
        <v>60</v>
      </c>
      <c r="AB386" s="376">
        <f t="shared" si="37"/>
        <v>116</v>
      </c>
      <c r="AC386" s="376">
        <f t="shared" si="37"/>
        <v>236</v>
      </c>
      <c r="AD386" s="376">
        <f t="shared" si="37"/>
        <v>290</v>
      </c>
      <c r="AE386" s="376">
        <f t="shared" si="37"/>
        <v>292</v>
      </c>
      <c r="AG386" s="376">
        <f t="shared" ref="AG386:AJ388" si="38">COUNTIF(AG$7:AG$385,$AK386)</f>
        <v>89</v>
      </c>
      <c r="AH386" s="376">
        <f t="shared" si="38"/>
        <v>105</v>
      </c>
      <c r="AI386" s="376">
        <f t="shared" si="38"/>
        <v>118</v>
      </c>
      <c r="AJ386" s="376">
        <f t="shared" si="38"/>
        <v>119</v>
      </c>
      <c r="AK386" s="376">
        <v>1</v>
      </c>
    </row>
    <row r="387" spans="1:38" ht="12.75" customHeight="1" x14ac:dyDescent="0.25">
      <c r="A387" s="369">
        <f t="shared" ref="A387:A393" si="39">A386+1</f>
        <v>3</v>
      </c>
      <c r="B387" s="20" t="s">
        <v>250</v>
      </c>
      <c r="C387" s="665" t="s">
        <v>242</v>
      </c>
      <c r="D387" s="662"/>
      <c r="E387" s="662"/>
      <c r="F387" s="662"/>
      <c r="G387" s="662"/>
      <c r="H387" s="662"/>
      <c r="I387" s="662"/>
      <c r="J387" s="662"/>
      <c r="K387" s="662"/>
      <c r="L387" s="662"/>
      <c r="M387" s="662"/>
      <c r="N387" s="662"/>
      <c r="O387" s="662"/>
      <c r="P387" s="662"/>
      <c r="Q387" s="662"/>
      <c r="R387" s="662"/>
      <c r="S387" s="662"/>
      <c r="T387" s="662"/>
      <c r="U387" s="662"/>
      <c r="V387" s="662"/>
      <c r="W387" s="579"/>
      <c r="X387" s="388" t="s">
        <v>238</v>
      </c>
      <c r="AA387" s="376">
        <f t="shared" si="37"/>
        <v>260</v>
      </c>
      <c r="AB387" s="376">
        <f t="shared" si="37"/>
        <v>195</v>
      </c>
      <c r="AC387" s="376">
        <f t="shared" si="37"/>
        <v>64</v>
      </c>
      <c r="AD387" s="376">
        <f t="shared" si="37"/>
        <v>10</v>
      </c>
      <c r="AE387" s="376">
        <f t="shared" si="37"/>
        <v>8</v>
      </c>
      <c r="AG387" s="376">
        <f t="shared" si="38"/>
        <v>222</v>
      </c>
      <c r="AH387" s="376">
        <f t="shared" si="38"/>
        <v>206</v>
      </c>
      <c r="AI387" s="376">
        <f t="shared" si="38"/>
        <v>193</v>
      </c>
      <c r="AJ387" s="376">
        <f t="shared" si="38"/>
        <v>192</v>
      </c>
      <c r="AK387" s="376">
        <v>0</v>
      </c>
    </row>
    <row r="388" spans="1:38" ht="12.75" customHeight="1" x14ac:dyDescent="0.25">
      <c r="A388" s="369">
        <f t="shared" si="39"/>
        <v>4</v>
      </c>
      <c r="B388" s="20" t="s">
        <v>251</v>
      </c>
      <c r="C388" s="665" t="s">
        <v>288</v>
      </c>
      <c r="D388" s="662"/>
      <c r="E388" s="662"/>
      <c r="F388" s="662"/>
      <c r="G388" s="662"/>
      <c r="H388" s="662"/>
      <c r="I388" s="662"/>
      <c r="J388" s="662"/>
      <c r="K388" s="662"/>
      <c r="L388" s="662"/>
      <c r="M388" s="662"/>
      <c r="N388" s="662"/>
      <c r="O388" s="662"/>
      <c r="P388" s="662"/>
      <c r="Q388" s="662"/>
      <c r="R388" s="662"/>
      <c r="S388" s="662"/>
      <c r="T388" s="662"/>
      <c r="U388" s="662"/>
      <c r="V388" s="662"/>
      <c r="W388" s="579"/>
      <c r="X388" s="388" t="s">
        <v>238</v>
      </c>
      <c r="AA388" s="376">
        <f t="shared" si="37"/>
        <v>42</v>
      </c>
      <c r="AB388" s="376">
        <f t="shared" si="37"/>
        <v>51</v>
      </c>
      <c r="AC388" s="376">
        <f t="shared" si="37"/>
        <v>62</v>
      </c>
      <c r="AD388" s="376">
        <f t="shared" si="37"/>
        <v>62</v>
      </c>
      <c r="AE388" s="376">
        <f t="shared" si="37"/>
        <v>62</v>
      </c>
      <c r="AG388" s="376">
        <f t="shared" si="38"/>
        <v>51</v>
      </c>
      <c r="AH388" s="376">
        <f t="shared" si="38"/>
        <v>51</v>
      </c>
      <c r="AI388" s="376">
        <f t="shared" si="38"/>
        <v>51</v>
      </c>
      <c r="AJ388" s="376">
        <f t="shared" si="38"/>
        <v>51</v>
      </c>
      <c r="AK388" s="376" t="s">
        <v>2</v>
      </c>
    </row>
    <row r="389" spans="1:38" ht="12.75" customHeight="1" x14ac:dyDescent="0.25">
      <c r="A389" s="369">
        <f t="shared" si="39"/>
        <v>5</v>
      </c>
      <c r="B389" s="20" t="s">
        <v>252</v>
      </c>
      <c r="C389" s="665" t="s">
        <v>246</v>
      </c>
      <c r="D389" s="662"/>
      <c r="E389" s="662"/>
      <c r="F389" s="662"/>
      <c r="G389" s="662"/>
      <c r="H389" s="662"/>
      <c r="I389" s="662"/>
      <c r="J389" s="662"/>
      <c r="K389" s="662"/>
      <c r="L389" s="662"/>
      <c r="M389" s="662"/>
      <c r="N389" s="662"/>
      <c r="O389" s="662"/>
      <c r="P389" s="662"/>
      <c r="Q389" s="662"/>
      <c r="R389" s="662"/>
      <c r="S389" s="662"/>
      <c r="T389" s="662"/>
      <c r="U389" s="662"/>
      <c r="V389" s="662"/>
      <c r="W389" s="579"/>
      <c r="X389" s="563" t="s">
        <v>238</v>
      </c>
      <c r="AA389" s="376">
        <f>SUM(AA386:AA388)</f>
        <v>362</v>
      </c>
      <c r="AB389" s="376">
        <f t="shared" ref="AB389:AJ389" si="40">SUM(AB386:AB388)</f>
        <v>362</v>
      </c>
      <c r="AC389" s="376">
        <f t="shared" si="40"/>
        <v>362</v>
      </c>
      <c r="AD389" s="376">
        <f t="shared" si="40"/>
        <v>362</v>
      </c>
      <c r="AE389" s="376">
        <f t="shared" si="40"/>
        <v>362</v>
      </c>
      <c r="AG389" s="376">
        <f t="shared" si="40"/>
        <v>362</v>
      </c>
      <c r="AH389" s="376">
        <f t="shared" si="40"/>
        <v>362</v>
      </c>
      <c r="AI389" s="376">
        <f t="shared" si="40"/>
        <v>362</v>
      </c>
      <c r="AJ389" s="376">
        <f t="shared" si="40"/>
        <v>362</v>
      </c>
      <c r="AK389" s="376" t="s">
        <v>1601</v>
      </c>
    </row>
    <row r="390" spans="1:38" ht="12.75" customHeight="1" x14ac:dyDescent="0.25">
      <c r="A390" s="369">
        <f t="shared" si="39"/>
        <v>6</v>
      </c>
      <c r="B390" s="20" t="s">
        <v>253</v>
      </c>
      <c r="C390" s="665" t="s">
        <v>245</v>
      </c>
      <c r="D390" s="662"/>
      <c r="E390" s="662"/>
      <c r="F390" s="662"/>
      <c r="G390" s="662"/>
      <c r="H390" s="662"/>
      <c r="I390" s="662"/>
      <c r="J390" s="662"/>
      <c r="K390" s="662"/>
      <c r="L390" s="662"/>
      <c r="M390" s="662"/>
      <c r="N390" s="662"/>
      <c r="O390" s="662"/>
      <c r="P390" s="662"/>
      <c r="Q390" s="662"/>
      <c r="R390" s="662"/>
      <c r="S390" s="662"/>
      <c r="T390" s="662"/>
      <c r="U390" s="662"/>
      <c r="V390" s="662"/>
      <c r="W390" s="579"/>
      <c r="X390" s="563" t="s">
        <v>238</v>
      </c>
    </row>
    <row r="391" spans="1:38" ht="12.75" customHeight="1" x14ac:dyDescent="0.25">
      <c r="A391" s="569">
        <f t="shared" si="39"/>
        <v>7</v>
      </c>
      <c r="B391" s="20" t="s">
        <v>254</v>
      </c>
      <c r="C391" s="565" t="s">
        <v>244</v>
      </c>
      <c r="D391" s="566"/>
      <c r="E391" s="566"/>
      <c r="F391" s="566"/>
      <c r="G391" s="566"/>
      <c r="H391" s="566"/>
      <c r="I391" s="566"/>
      <c r="J391" s="566"/>
      <c r="K391" s="566"/>
      <c r="L391" s="566"/>
      <c r="M391" s="566"/>
      <c r="N391" s="566"/>
      <c r="O391" s="566"/>
      <c r="P391" s="566"/>
      <c r="Q391" s="566"/>
      <c r="R391" s="566"/>
      <c r="S391" s="566"/>
      <c r="T391" s="566"/>
      <c r="U391" s="566"/>
      <c r="V391" s="566"/>
      <c r="W391" s="564"/>
      <c r="X391" s="570" t="s">
        <v>238</v>
      </c>
    </row>
    <row r="392" spans="1:38" ht="12.75" customHeight="1" x14ac:dyDescent="0.25">
      <c r="A392" s="569">
        <f t="shared" si="39"/>
        <v>8</v>
      </c>
      <c r="B392" s="20" t="s">
        <v>255</v>
      </c>
      <c r="C392" s="565" t="s">
        <v>223</v>
      </c>
      <c r="D392" s="566"/>
      <c r="E392" s="566"/>
      <c r="F392" s="566"/>
      <c r="G392" s="566"/>
      <c r="H392" s="566"/>
      <c r="I392" s="566"/>
      <c r="J392" s="566"/>
      <c r="K392" s="566"/>
      <c r="L392" s="566"/>
      <c r="M392" s="566"/>
      <c r="N392" s="566"/>
      <c r="O392" s="566"/>
      <c r="P392" s="566"/>
      <c r="Q392" s="566"/>
      <c r="R392" s="566"/>
      <c r="S392" s="566"/>
      <c r="T392" s="566"/>
      <c r="U392" s="566"/>
      <c r="V392" s="566"/>
      <c r="W392" s="564"/>
      <c r="X392" s="570" t="s">
        <v>238</v>
      </c>
    </row>
    <row r="393" spans="1:38" ht="12.75" customHeight="1" x14ac:dyDescent="0.25">
      <c r="A393" s="569">
        <f t="shared" si="39"/>
        <v>9</v>
      </c>
      <c r="B393" s="20" t="s">
        <v>256</v>
      </c>
      <c r="C393" s="565" t="s">
        <v>243</v>
      </c>
      <c r="D393" s="566"/>
      <c r="E393" s="566"/>
      <c r="F393" s="566"/>
      <c r="G393" s="566"/>
      <c r="H393" s="566"/>
      <c r="I393" s="566"/>
      <c r="J393" s="566"/>
      <c r="K393" s="566"/>
      <c r="L393" s="566"/>
      <c r="M393" s="566"/>
      <c r="N393" s="566"/>
      <c r="O393" s="566"/>
      <c r="P393" s="566"/>
      <c r="Q393" s="566"/>
      <c r="R393" s="566"/>
      <c r="S393" s="566"/>
      <c r="T393" s="566"/>
      <c r="U393" s="566"/>
      <c r="V393" s="566"/>
      <c r="W393" s="564"/>
      <c r="X393" s="570" t="s">
        <v>238</v>
      </c>
    </row>
    <row r="395" spans="1:38" ht="12.75" customHeight="1" x14ac:dyDescent="0.25">
      <c r="AC395" s="381"/>
    </row>
    <row r="396" spans="1:38" ht="12.75" customHeight="1" x14ac:dyDescent="0.25">
      <c r="AC396" s="381"/>
    </row>
    <row r="397" spans="1:38" ht="12.75" customHeight="1" x14ac:dyDescent="0.25">
      <c r="AC397" s="381"/>
    </row>
    <row r="398" spans="1:38" ht="12.75" customHeight="1" x14ac:dyDescent="0.25">
      <c r="AC398" s="381"/>
    </row>
    <row r="399" spans="1:38" ht="12.75" customHeight="1" x14ac:dyDescent="0.25">
      <c r="AC399" s="381"/>
    </row>
    <row r="400" spans="1:38" ht="12.75" customHeight="1" x14ac:dyDescent="0.25">
      <c r="AC400" s="381"/>
    </row>
    <row r="401" spans="29:29" ht="12.75" customHeight="1" x14ac:dyDescent="0.25">
      <c r="AC401" s="381"/>
    </row>
    <row r="402" spans="29:29" ht="12.75" customHeight="1" x14ac:dyDescent="0.25">
      <c r="AC402" s="381"/>
    </row>
    <row r="403" spans="29:29" ht="12.75" customHeight="1" x14ac:dyDescent="0.25">
      <c r="AC403" s="381"/>
    </row>
    <row r="404" spans="29:29" ht="12.75" customHeight="1" x14ac:dyDescent="0.25">
      <c r="AC404" s="381"/>
    </row>
    <row r="405" spans="29:29" ht="12.75" customHeight="1" x14ac:dyDescent="0.25">
      <c r="AC405" s="381"/>
    </row>
    <row r="406" spans="29:29" ht="12.75" customHeight="1" x14ac:dyDescent="0.25">
      <c r="AC406" s="381"/>
    </row>
    <row r="407" spans="29:29" ht="12.75" customHeight="1" x14ac:dyDescent="0.25">
      <c r="AC407" s="381"/>
    </row>
  </sheetData>
  <sheetProtection password="85C8" sheet="1" objects="1" scenarios="1"/>
  <customSheetViews>
    <customSheetView guid="{FE4792CB-B919-4F54-9754-D4BC1B90FDF0}" scale="80" showPageBreaks="1" showGridLines="0" showRowCol="0" hiddenColumns="1" view="pageLayout" showRuler="0">
      <selection activeCell="A3" sqref="A3:X3"/>
      <pageMargins left="0.23622047244094491" right="0.23622047244094491" top="1.1417322834645669" bottom="0.94488188976377963" header="0.31496062992125984" footer="0.31496062992125984"/>
      <printOptions horizontalCentered="1"/>
      <pageSetup paperSize="9" scale="110" orientation="portrait" horizontalDpi="300" r:id="rId1"/>
      <headerFooter>
        <oddHeader>&amp;L&amp;G&amp;C&amp;"-,Negrita"&amp;14&amp;K0AB2B2Anexo 1 - DJ 003</oddHeader>
        <oddFooter>&amp;R&amp;K0AB2B2URSEA - DJ003 - ANEXO 1 - MT v01.1 - Pág . &amp;P</oddFooter>
      </headerFooter>
    </customSheetView>
  </customSheetViews>
  <mergeCells count="1343">
    <mergeCell ref="C387:W387"/>
    <mergeCell ref="C388:W388"/>
    <mergeCell ref="C389:W389"/>
    <mergeCell ref="C390:W390"/>
    <mergeCell ref="M340:P340"/>
    <mergeCell ref="Q340:X340"/>
    <mergeCell ref="M341:P341"/>
    <mergeCell ref="Q341:X341"/>
    <mergeCell ref="N118:P118"/>
    <mergeCell ref="Q306:X306"/>
    <mergeCell ref="M307:P307"/>
    <mergeCell ref="Q307:X307"/>
    <mergeCell ref="M308:P308"/>
    <mergeCell ref="Q308:X308"/>
    <mergeCell ref="M309:P309"/>
    <mergeCell ref="Q309:X309"/>
    <mergeCell ref="M310:P310"/>
    <mergeCell ref="Q310:X310"/>
    <mergeCell ref="Q316:X316"/>
    <mergeCell ref="Q317:X317"/>
    <mergeCell ref="Q318:X318"/>
    <mergeCell ref="Q319:X319"/>
    <mergeCell ref="Q320:X320"/>
    <mergeCell ref="N338:O338"/>
    <mergeCell ref="P338:X338"/>
    <mergeCell ref="C137:L137"/>
    <mergeCell ref="M137:N137"/>
    <mergeCell ref="W103:X103"/>
    <mergeCell ref="C102:L102"/>
    <mergeCell ref="M102:N102"/>
    <mergeCell ref="O102:P102"/>
    <mergeCell ref="Q102:R102"/>
    <mergeCell ref="S108:T108"/>
    <mergeCell ref="U108:V108"/>
    <mergeCell ref="C106:L106"/>
    <mergeCell ref="U112:V112"/>
    <mergeCell ref="U113:V113"/>
    <mergeCell ref="E59:F59"/>
    <mergeCell ref="C63:D63"/>
    <mergeCell ref="C373:J373"/>
    <mergeCell ref="X352:X353"/>
    <mergeCell ref="X383:X384"/>
    <mergeCell ref="C385:W385"/>
    <mergeCell ref="C386:W386"/>
    <mergeCell ref="Q105:R105"/>
    <mergeCell ref="S105:T105"/>
    <mergeCell ref="U105:V105"/>
    <mergeCell ref="W112:X112"/>
    <mergeCell ref="C113:L113"/>
    <mergeCell ref="Q113:R113"/>
    <mergeCell ref="S113:T113"/>
    <mergeCell ref="O108:P108"/>
    <mergeCell ref="C118:L118"/>
    <mergeCell ref="H104:I104"/>
    <mergeCell ref="N116:P116"/>
    <mergeCell ref="C125:L125"/>
    <mergeCell ref="C123:L123"/>
    <mergeCell ref="M123:P123"/>
    <mergeCell ref="S115:T115"/>
    <mergeCell ref="O113:P113"/>
    <mergeCell ref="W105:X105"/>
    <mergeCell ref="C104:G104"/>
    <mergeCell ref="W106:X106"/>
    <mergeCell ref="O137:P137"/>
    <mergeCell ref="Q137:T137"/>
    <mergeCell ref="C130:L130"/>
    <mergeCell ref="C126:X126"/>
    <mergeCell ref="C127:X127"/>
    <mergeCell ref="C129:L129"/>
    <mergeCell ref="C143:L143"/>
    <mergeCell ref="M143:T143"/>
    <mergeCell ref="U143:X143"/>
    <mergeCell ref="U144:X144"/>
    <mergeCell ref="W149:X149"/>
    <mergeCell ref="U149:V149"/>
    <mergeCell ref="Q134:X134"/>
    <mergeCell ref="Q135:X135"/>
    <mergeCell ref="M32:N32"/>
    <mergeCell ref="R32:S32"/>
    <mergeCell ref="I42:L42"/>
    <mergeCell ref="M42:O42"/>
    <mergeCell ref="P42:R42"/>
    <mergeCell ref="Q108:R108"/>
    <mergeCell ref="W108:X108"/>
    <mergeCell ref="M107:P107"/>
    <mergeCell ref="Q107:X107"/>
    <mergeCell ref="S104:T104"/>
    <mergeCell ref="U104:V104"/>
    <mergeCell ref="W102:X102"/>
    <mergeCell ref="C103:L103"/>
    <mergeCell ref="M103:N103"/>
    <mergeCell ref="O103:P103"/>
    <mergeCell ref="Q103:R103"/>
    <mergeCell ref="S103:T103"/>
    <mergeCell ref="U103:V103"/>
    <mergeCell ref="M336:T336"/>
    <mergeCell ref="M106:N106"/>
    <mergeCell ref="O106:P106"/>
    <mergeCell ref="Q106:R106"/>
    <mergeCell ref="S106:T106"/>
    <mergeCell ref="U106:V106"/>
    <mergeCell ref="C107:L107"/>
    <mergeCell ref="C108:L108"/>
    <mergeCell ref="M108:N108"/>
    <mergeCell ref="O104:P104"/>
    <mergeCell ref="C114:X114"/>
    <mergeCell ref="C115:L115"/>
    <mergeCell ref="N115:P115"/>
    <mergeCell ref="Q115:R115"/>
    <mergeCell ref="S109:T109"/>
    <mergeCell ref="C124:L124"/>
    <mergeCell ref="C135:L135"/>
    <mergeCell ref="M129:P129"/>
    <mergeCell ref="M130:P130"/>
    <mergeCell ref="M131:P131"/>
    <mergeCell ref="M132:P132"/>
    <mergeCell ref="C132:L132"/>
    <mergeCell ref="C133:L133"/>
    <mergeCell ref="C131:L131"/>
    <mergeCell ref="U137:V137"/>
    <mergeCell ref="Q266:V266"/>
    <mergeCell ref="M303:P303"/>
    <mergeCell ref="Q303:X303"/>
    <mergeCell ref="C146:L146"/>
    <mergeCell ref="M113:N113"/>
    <mergeCell ref="C116:L116"/>
    <mergeCell ref="C199:L199"/>
    <mergeCell ref="S26:T26"/>
    <mergeCell ref="U26:V26"/>
    <mergeCell ref="K29:L29"/>
    <mergeCell ref="K26:L26"/>
    <mergeCell ref="K27:L27"/>
    <mergeCell ref="O32:Q32"/>
    <mergeCell ref="G59:I59"/>
    <mergeCell ref="I35:K35"/>
    <mergeCell ref="C35:F35"/>
    <mergeCell ref="W36:X36"/>
    <mergeCell ref="G35:H35"/>
    <mergeCell ref="C36:K36"/>
    <mergeCell ref="Q104:R104"/>
    <mergeCell ref="U109:V109"/>
    <mergeCell ref="J104:L104"/>
    <mergeCell ref="M104:N104"/>
    <mergeCell ref="C26:J26"/>
    <mergeCell ref="C27:J27"/>
    <mergeCell ref="I28:J28"/>
    <mergeCell ref="Q28:R28"/>
    <mergeCell ref="W41:X41"/>
    <mergeCell ref="C42:H42"/>
    <mergeCell ref="W104:X104"/>
    <mergeCell ref="C105:L105"/>
    <mergeCell ref="M105:N105"/>
    <mergeCell ref="O105:P105"/>
    <mergeCell ref="U28:V28"/>
    <mergeCell ref="I30:J30"/>
    <mergeCell ref="T32:V32"/>
    <mergeCell ref="W30:X30"/>
    <mergeCell ref="M27:P27"/>
    <mergeCell ref="C40:H40"/>
    <mergeCell ref="W25:X25"/>
    <mergeCell ref="K30:L30"/>
    <mergeCell ref="M29:T29"/>
    <mergeCell ref="M28:P28"/>
    <mergeCell ref="K28:L28"/>
    <mergeCell ref="I29:J29"/>
    <mergeCell ref="M25:P25"/>
    <mergeCell ref="K25:L25"/>
    <mergeCell ref="S102:T102"/>
    <mergeCell ref="U102:V102"/>
    <mergeCell ref="I11:J11"/>
    <mergeCell ref="K21:M21"/>
    <mergeCell ref="E21:J21"/>
    <mergeCell ref="N18:P18"/>
    <mergeCell ref="N19:P19"/>
    <mergeCell ref="N20:P20"/>
    <mergeCell ref="Q18:X18"/>
    <mergeCell ref="Q19:X19"/>
    <mergeCell ref="M26:P26"/>
    <mergeCell ref="C25:E25"/>
    <mergeCell ref="F25:J25"/>
    <mergeCell ref="H32:J32"/>
    <mergeCell ref="C33:H33"/>
    <mergeCell ref="I33:K33"/>
    <mergeCell ref="L33:M33"/>
    <mergeCell ref="N33:P33"/>
    <mergeCell ref="W32:X32"/>
    <mergeCell ref="U25:V25"/>
    <mergeCell ref="Q20:X20"/>
    <mergeCell ref="Q25:R25"/>
    <mergeCell ref="S25:T25"/>
    <mergeCell ref="C38:X38"/>
    <mergeCell ref="I40:L40"/>
    <mergeCell ref="M40:O40"/>
    <mergeCell ref="P40:R40"/>
    <mergeCell ref="S40:T40"/>
    <mergeCell ref="U40:V40"/>
    <mergeCell ref="W40:X40"/>
    <mergeCell ref="W33:X33"/>
    <mergeCell ref="C34:H34"/>
    <mergeCell ref="I34:K34"/>
    <mergeCell ref="U16:X16"/>
    <mergeCell ref="O16:T16"/>
    <mergeCell ref="E16:J16"/>
    <mergeCell ref="K16:N16"/>
    <mergeCell ref="W26:X26"/>
    <mergeCell ref="Q27:R27"/>
    <mergeCell ref="S27:T27"/>
    <mergeCell ref="C23:X23"/>
    <mergeCell ref="N21:P21"/>
    <mergeCell ref="Q21:S21"/>
    <mergeCell ref="U27:V27"/>
    <mergeCell ref="W27:X27"/>
    <mergeCell ref="Q26:R26"/>
    <mergeCell ref="K18:M18"/>
    <mergeCell ref="K19:M19"/>
    <mergeCell ref="K20:M20"/>
    <mergeCell ref="S28:T28"/>
    <mergeCell ref="U17:X17"/>
    <mergeCell ref="I31:J31"/>
    <mergeCell ref="F30:H30"/>
    <mergeCell ref="E20:J20"/>
    <mergeCell ref="C22:X22"/>
    <mergeCell ref="E18:J18"/>
    <mergeCell ref="W15:X15"/>
    <mergeCell ref="E8:J8"/>
    <mergeCell ref="K8:T8"/>
    <mergeCell ref="E19:J19"/>
    <mergeCell ref="S10:T10"/>
    <mergeCell ref="K11:T11"/>
    <mergeCell ref="U11:V11"/>
    <mergeCell ref="W11:X11"/>
    <mergeCell ref="E12:J12"/>
    <mergeCell ref="K12:P12"/>
    <mergeCell ref="Q12:R12"/>
    <mergeCell ref="E17:J17"/>
    <mergeCell ref="K17:N17"/>
    <mergeCell ref="O17:P17"/>
    <mergeCell ref="E11:F11"/>
    <mergeCell ref="E10:J10"/>
    <mergeCell ref="U10:V10"/>
    <mergeCell ref="W10:X10"/>
    <mergeCell ref="E14:J14"/>
    <mergeCell ref="K14:T14"/>
    <mergeCell ref="E15:J15"/>
    <mergeCell ref="K15:P15"/>
    <mergeCell ref="Q15:R15"/>
    <mergeCell ref="G11:H11"/>
    <mergeCell ref="S17:T17"/>
    <mergeCell ref="U9:V9"/>
    <mergeCell ref="W9:X9"/>
    <mergeCell ref="C7:D10"/>
    <mergeCell ref="C11:D13"/>
    <mergeCell ref="C14:D21"/>
    <mergeCell ref="C30:E30"/>
    <mergeCell ref="R1:S1"/>
    <mergeCell ref="C5:X5"/>
    <mergeCell ref="E7:J7"/>
    <mergeCell ref="K7:T7"/>
    <mergeCell ref="U7:V7"/>
    <mergeCell ref="W7:X7"/>
    <mergeCell ref="S15:T15"/>
    <mergeCell ref="U15:V15"/>
    <mergeCell ref="W12:X12"/>
    <mergeCell ref="E13:J13"/>
    <mergeCell ref="K13:P13"/>
    <mergeCell ref="Q13:R13"/>
    <mergeCell ref="S13:T13"/>
    <mergeCell ref="U13:V13"/>
    <mergeCell ref="W13:X13"/>
    <mergeCell ref="S12:T12"/>
    <mergeCell ref="U12:V12"/>
    <mergeCell ref="W8:X8"/>
    <mergeCell ref="E9:J9"/>
    <mergeCell ref="K9:P9"/>
    <mergeCell ref="Q9:R9"/>
    <mergeCell ref="S9:T9"/>
    <mergeCell ref="K10:P10"/>
    <mergeCell ref="Q10:R10"/>
    <mergeCell ref="T1:X1"/>
    <mergeCell ref="A3:X3"/>
    <mergeCell ref="U8:V8"/>
    <mergeCell ref="Q17:R17"/>
    <mergeCell ref="U42:V42"/>
    <mergeCell ref="Q33:R33"/>
    <mergeCell ref="S33:V33"/>
    <mergeCell ref="C28:H28"/>
    <mergeCell ref="M45:N45"/>
    <mergeCell ref="O45:P45"/>
    <mergeCell ref="Q45:R45"/>
    <mergeCell ref="S45:T45"/>
    <mergeCell ref="U45:V45"/>
    <mergeCell ref="C43:H43"/>
    <mergeCell ref="W43:X43"/>
    <mergeCell ref="M44:N44"/>
    <mergeCell ref="O44:P44"/>
    <mergeCell ref="Q44:R44"/>
    <mergeCell ref="S44:T44"/>
    <mergeCell ref="U44:V44"/>
    <mergeCell ref="W44:X44"/>
    <mergeCell ref="U43:V43"/>
    <mergeCell ref="S43:T43"/>
    <mergeCell ref="Q43:R43"/>
    <mergeCell ref="O43:P43"/>
    <mergeCell ref="I43:N43"/>
    <mergeCell ref="L34:M34"/>
    <mergeCell ref="N34:P34"/>
    <mergeCell ref="L35:M35"/>
    <mergeCell ref="N35:V35"/>
    <mergeCell ref="W35:X35"/>
    <mergeCell ref="N36:V36"/>
    <mergeCell ref="L36:M36"/>
    <mergeCell ref="Q34:R34"/>
    <mergeCell ref="S34:V34"/>
    <mergeCell ref="W34:X34"/>
    <mergeCell ref="C49:H49"/>
    <mergeCell ref="C46:F46"/>
    <mergeCell ref="W42:X42"/>
    <mergeCell ref="C41:H41"/>
    <mergeCell ref="I41:L41"/>
    <mergeCell ref="M41:O41"/>
    <mergeCell ref="P41:R41"/>
    <mergeCell ref="S41:T41"/>
    <mergeCell ref="U41:V41"/>
    <mergeCell ref="C44:F44"/>
    <mergeCell ref="G44:I44"/>
    <mergeCell ref="J44:L44"/>
    <mergeCell ref="K31:L31"/>
    <mergeCell ref="W28:X28"/>
    <mergeCell ref="C29:H29"/>
    <mergeCell ref="W47:X47"/>
    <mergeCell ref="I48:J48"/>
    <mergeCell ref="K48:L48"/>
    <mergeCell ref="M48:N48"/>
    <mergeCell ref="O48:P48"/>
    <mergeCell ref="Q48:R48"/>
    <mergeCell ref="E47:F47"/>
    <mergeCell ref="I47:J47"/>
    <mergeCell ref="K47:L47"/>
    <mergeCell ref="M47:N47"/>
    <mergeCell ref="O47:P47"/>
    <mergeCell ref="C48:F48"/>
    <mergeCell ref="G48:H48"/>
    <mergeCell ref="C47:D47"/>
    <mergeCell ref="G47:H47"/>
    <mergeCell ref="W45:X45"/>
    <mergeCell ref="S42:T42"/>
    <mergeCell ref="I46:J46"/>
    <mergeCell ref="K46:L46"/>
    <mergeCell ref="M46:N46"/>
    <mergeCell ref="O46:P46"/>
    <mergeCell ref="Q46:R46"/>
    <mergeCell ref="S46:T46"/>
    <mergeCell ref="U46:V46"/>
    <mergeCell ref="W46:X46"/>
    <mergeCell ref="C45:L45"/>
    <mergeCell ref="O60:P60"/>
    <mergeCell ref="Q60:R60"/>
    <mergeCell ref="S60:T60"/>
    <mergeCell ref="U60:V60"/>
    <mergeCell ref="W60:X60"/>
    <mergeCell ref="C61:D61"/>
    <mergeCell ref="E61:F61"/>
    <mergeCell ref="G61:H61"/>
    <mergeCell ref="I61:J61"/>
    <mergeCell ref="K61:L61"/>
    <mergeCell ref="C60:D60"/>
    <mergeCell ref="E60:F60"/>
    <mergeCell ref="G60:H60"/>
    <mergeCell ref="I60:J60"/>
    <mergeCell ref="K60:L60"/>
    <mergeCell ref="M60:N60"/>
    <mergeCell ref="G46:H46"/>
    <mergeCell ref="C57:X57"/>
    <mergeCell ref="S59:X59"/>
    <mergeCell ref="S48:T48"/>
    <mergeCell ref="U48:V48"/>
    <mergeCell ref="W48:X48"/>
    <mergeCell ref="I49:J49"/>
    <mergeCell ref="E63:F63"/>
    <mergeCell ref="G63:H63"/>
    <mergeCell ref="I63:J63"/>
    <mergeCell ref="K63:L63"/>
    <mergeCell ref="C62:D62"/>
    <mergeCell ref="E62:F62"/>
    <mergeCell ref="G62:H62"/>
    <mergeCell ref="I62:J62"/>
    <mergeCell ref="K62:L62"/>
    <mergeCell ref="M62:N62"/>
    <mergeCell ref="M61:N61"/>
    <mergeCell ref="O61:P61"/>
    <mergeCell ref="Q61:R61"/>
    <mergeCell ref="S61:T61"/>
    <mergeCell ref="U61:V61"/>
    <mergeCell ref="W61:X61"/>
    <mergeCell ref="M63:N63"/>
    <mergeCell ref="O63:P63"/>
    <mergeCell ref="Q63:R63"/>
    <mergeCell ref="S63:T63"/>
    <mergeCell ref="U63:V63"/>
    <mergeCell ref="W63:X63"/>
    <mergeCell ref="K49:P49"/>
    <mergeCell ref="Q49:R49"/>
    <mergeCell ref="S49:T49"/>
    <mergeCell ref="U49:V49"/>
    <mergeCell ref="W49:X49"/>
    <mergeCell ref="Q47:R47"/>
    <mergeCell ref="S47:T47"/>
    <mergeCell ref="U47:V47"/>
    <mergeCell ref="O62:P62"/>
    <mergeCell ref="Q62:R62"/>
    <mergeCell ref="S62:T62"/>
    <mergeCell ref="U62:V62"/>
    <mergeCell ref="W62:X62"/>
    <mergeCell ref="M65:N65"/>
    <mergeCell ref="O65:P65"/>
    <mergeCell ref="Q65:R65"/>
    <mergeCell ref="S65:T65"/>
    <mergeCell ref="U65:V65"/>
    <mergeCell ref="W65:X65"/>
    <mergeCell ref="O64:P64"/>
    <mergeCell ref="Q64:R64"/>
    <mergeCell ref="S64:T64"/>
    <mergeCell ref="U64:V64"/>
    <mergeCell ref="W64:X64"/>
    <mergeCell ref="K59:R59"/>
    <mergeCell ref="C65:D65"/>
    <mergeCell ref="E65:F65"/>
    <mergeCell ref="G65:H65"/>
    <mergeCell ref="I65:J65"/>
    <mergeCell ref="K65:L65"/>
    <mergeCell ref="C64:D64"/>
    <mergeCell ref="E64:F64"/>
    <mergeCell ref="G64:H64"/>
    <mergeCell ref="I64:J64"/>
    <mergeCell ref="K64:L64"/>
    <mergeCell ref="M64:N64"/>
    <mergeCell ref="M67:N67"/>
    <mergeCell ref="O67:P67"/>
    <mergeCell ref="Q67:R67"/>
    <mergeCell ref="S67:T67"/>
    <mergeCell ref="U67:V67"/>
    <mergeCell ref="W67:X67"/>
    <mergeCell ref="O66:P66"/>
    <mergeCell ref="Q66:R66"/>
    <mergeCell ref="S66:T66"/>
    <mergeCell ref="U66:V66"/>
    <mergeCell ref="W66:X66"/>
    <mergeCell ref="C67:D67"/>
    <mergeCell ref="E67:F67"/>
    <mergeCell ref="G67:H67"/>
    <mergeCell ref="I67:J67"/>
    <mergeCell ref="K67:L67"/>
    <mergeCell ref="C66:D66"/>
    <mergeCell ref="E66:F66"/>
    <mergeCell ref="G66:H66"/>
    <mergeCell ref="I66:J66"/>
    <mergeCell ref="K66:L66"/>
    <mergeCell ref="M66:N66"/>
    <mergeCell ref="M69:N69"/>
    <mergeCell ref="O69:P69"/>
    <mergeCell ref="Q69:R69"/>
    <mergeCell ref="S69:T69"/>
    <mergeCell ref="U69:V69"/>
    <mergeCell ref="W69:X69"/>
    <mergeCell ref="O68:P68"/>
    <mergeCell ref="Q68:R68"/>
    <mergeCell ref="S68:T68"/>
    <mergeCell ref="U68:V68"/>
    <mergeCell ref="W68:X68"/>
    <mergeCell ref="C69:D69"/>
    <mergeCell ref="E69:F69"/>
    <mergeCell ref="G69:H69"/>
    <mergeCell ref="I69:J69"/>
    <mergeCell ref="K69:L69"/>
    <mergeCell ref="C68:D68"/>
    <mergeCell ref="E68:F68"/>
    <mergeCell ref="G68:H68"/>
    <mergeCell ref="I68:J68"/>
    <mergeCell ref="K68:L68"/>
    <mergeCell ref="M68:N68"/>
    <mergeCell ref="M71:N71"/>
    <mergeCell ref="O71:P71"/>
    <mergeCell ref="Q71:R71"/>
    <mergeCell ref="S71:T71"/>
    <mergeCell ref="U71:V71"/>
    <mergeCell ref="W71:X71"/>
    <mergeCell ref="O70:P70"/>
    <mergeCell ref="Q70:R70"/>
    <mergeCell ref="S70:T70"/>
    <mergeCell ref="U70:V70"/>
    <mergeCell ref="W70:X70"/>
    <mergeCell ref="C71:D71"/>
    <mergeCell ref="E71:F71"/>
    <mergeCell ref="G71:H71"/>
    <mergeCell ref="I71:J71"/>
    <mergeCell ref="K71:L71"/>
    <mergeCell ref="C70:D70"/>
    <mergeCell ref="E70:F70"/>
    <mergeCell ref="G70:H70"/>
    <mergeCell ref="I70:J70"/>
    <mergeCell ref="K70:L70"/>
    <mergeCell ref="M70:N70"/>
    <mergeCell ref="M73:N73"/>
    <mergeCell ref="O73:P73"/>
    <mergeCell ref="Q73:R73"/>
    <mergeCell ref="S73:T73"/>
    <mergeCell ref="U73:V73"/>
    <mergeCell ref="W73:X73"/>
    <mergeCell ref="O72:P72"/>
    <mergeCell ref="Q72:R72"/>
    <mergeCell ref="S72:T72"/>
    <mergeCell ref="U72:V72"/>
    <mergeCell ref="W72:X72"/>
    <mergeCell ref="C73:D73"/>
    <mergeCell ref="E73:F73"/>
    <mergeCell ref="G73:H73"/>
    <mergeCell ref="I73:J73"/>
    <mergeCell ref="K73:L73"/>
    <mergeCell ref="C72:D72"/>
    <mergeCell ref="E72:F72"/>
    <mergeCell ref="G72:H72"/>
    <mergeCell ref="I72:J72"/>
    <mergeCell ref="K72:L72"/>
    <mergeCell ref="M72:N72"/>
    <mergeCell ref="W75:X75"/>
    <mergeCell ref="C76:D76"/>
    <mergeCell ref="I76:J76"/>
    <mergeCell ref="K76:L76"/>
    <mergeCell ref="M76:N76"/>
    <mergeCell ref="Q76:R76"/>
    <mergeCell ref="C84:L84"/>
    <mergeCell ref="Q85:X85"/>
    <mergeCell ref="Q86:X86"/>
    <mergeCell ref="Q87:X87"/>
    <mergeCell ref="Q80:X80"/>
    <mergeCell ref="M83:P83"/>
    <mergeCell ref="M82:P82"/>
    <mergeCell ref="M81:P81"/>
    <mergeCell ref="M84:P84"/>
    <mergeCell ref="M85:P85"/>
    <mergeCell ref="C74:X74"/>
    <mergeCell ref="C75:D75"/>
    <mergeCell ref="E75:F75"/>
    <mergeCell ref="G75:H75"/>
    <mergeCell ref="I75:J75"/>
    <mergeCell ref="K75:L75"/>
    <mergeCell ref="M75:N75"/>
    <mergeCell ref="O76:P76"/>
    <mergeCell ref="S76:T76"/>
    <mergeCell ref="C81:L81"/>
    <mergeCell ref="O75:V75"/>
    <mergeCell ref="E76:H76"/>
    <mergeCell ref="C77:H77"/>
    <mergeCell ref="Q81:X81"/>
    <mergeCell ref="M86:P86"/>
    <mergeCell ref="M87:P87"/>
    <mergeCell ref="C88:L88"/>
    <mergeCell ref="M88:T88"/>
    <mergeCell ref="U88:X88"/>
    <mergeCell ref="C89:L89"/>
    <mergeCell ref="M89:T89"/>
    <mergeCell ref="U89:X89"/>
    <mergeCell ref="C100:L100"/>
    <mergeCell ref="M100:N100"/>
    <mergeCell ref="O100:X100"/>
    <mergeCell ref="C82:L82"/>
    <mergeCell ref="Q77:R77"/>
    <mergeCell ref="S77:T77"/>
    <mergeCell ref="U77:V77"/>
    <mergeCell ref="W77:X77"/>
    <mergeCell ref="C79:X79"/>
    <mergeCell ref="U76:V76"/>
    <mergeCell ref="W76:X76"/>
    <mergeCell ref="I77:J77"/>
    <mergeCell ref="K77:L77"/>
    <mergeCell ref="M77:N77"/>
    <mergeCell ref="O77:P77"/>
    <mergeCell ref="C87:L87"/>
    <mergeCell ref="C85:L85"/>
    <mergeCell ref="C86:L86"/>
    <mergeCell ref="C83:L83"/>
    <mergeCell ref="C98:L98"/>
    <mergeCell ref="C99:L99"/>
    <mergeCell ref="M99:N99"/>
    <mergeCell ref="O99:X99"/>
    <mergeCell ref="C94:L94"/>
    <mergeCell ref="M94:N94"/>
    <mergeCell ref="O94:T94"/>
    <mergeCell ref="U94:X94"/>
    <mergeCell ref="C95:X95"/>
    <mergeCell ref="C96:X96"/>
    <mergeCell ref="C92:L92"/>
    <mergeCell ref="M92:T92"/>
    <mergeCell ref="C93:L93"/>
    <mergeCell ref="M93:T93"/>
    <mergeCell ref="U93:X93"/>
    <mergeCell ref="C90:L90"/>
    <mergeCell ref="M90:T90"/>
    <mergeCell ref="U90:X90"/>
    <mergeCell ref="C91:L91"/>
    <mergeCell ref="M91:T91"/>
    <mergeCell ref="C139:X139"/>
    <mergeCell ref="C140:X140"/>
    <mergeCell ref="C142:L142"/>
    <mergeCell ref="M142:T142"/>
    <mergeCell ref="C138:L138"/>
    <mergeCell ref="M138:N138"/>
    <mergeCell ref="O138:P138"/>
    <mergeCell ref="Q138:T138"/>
    <mergeCell ref="U138:V138"/>
    <mergeCell ref="W138:X138"/>
    <mergeCell ref="U142:X142"/>
    <mergeCell ref="W137:X137"/>
    <mergeCell ref="C101:L101"/>
    <mergeCell ref="M101:N101"/>
    <mergeCell ref="O101:P101"/>
    <mergeCell ref="Q101:R101"/>
    <mergeCell ref="S101:T101"/>
    <mergeCell ref="U101:V101"/>
    <mergeCell ref="W101:X101"/>
    <mergeCell ref="W113:X113"/>
    <mergeCell ref="C112:L112"/>
    <mergeCell ref="M112:N112"/>
    <mergeCell ref="O112:P112"/>
    <mergeCell ref="C109:L109"/>
    <mergeCell ref="M109:N109"/>
    <mergeCell ref="O109:P109"/>
    <mergeCell ref="Q109:R109"/>
    <mergeCell ref="Q112:R112"/>
    <mergeCell ref="C134:L134"/>
    <mergeCell ref="C150:L150"/>
    <mergeCell ref="M150:N150"/>
    <mergeCell ref="O150:T150"/>
    <mergeCell ref="U150:V150"/>
    <mergeCell ref="C151:L151"/>
    <mergeCell ref="M151:N151"/>
    <mergeCell ref="O151:T151"/>
    <mergeCell ref="U151:V151"/>
    <mergeCell ref="C147:L147"/>
    <mergeCell ref="M147:T147"/>
    <mergeCell ref="C148:L148"/>
    <mergeCell ref="M148:N148"/>
    <mergeCell ref="O148:X148"/>
    <mergeCell ref="C149:L149"/>
    <mergeCell ref="M149:N149"/>
    <mergeCell ref="O149:P149"/>
    <mergeCell ref="Q149:R149"/>
    <mergeCell ref="S149:T149"/>
    <mergeCell ref="U147:X147"/>
    <mergeCell ref="W151:X151"/>
    <mergeCell ref="W150:X150"/>
    <mergeCell ref="S112:T112"/>
    <mergeCell ref="O155:X155"/>
    <mergeCell ref="O154:X154"/>
    <mergeCell ref="W152:X152"/>
    <mergeCell ref="O153:Q153"/>
    <mergeCell ref="S153:X153"/>
    <mergeCell ref="C159:L159"/>
    <mergeCell ref="M159:N159"/>
    <mergeCell ref="C160:L160"/>
    <mergeCell ref="M160:N160"/>
    <mergeCell ref="O160:T160"/>
    <mergeCell ref="O159:X159"/>
    <mergeCell ref="W160:X160"/>
    <mergeCell ref="O161:X161"/>
    <mergeCell ref="O162:X162"/>
    <mergeCell ref="Q163:X163"/>
    <mergeCell ref="C144:L144"/>
    <mergeCell ref="M144:T144"/>
    <mergeCell ref="C145:L145"/>
    <mergeCell ref="M145:T145"/>
    <mergeCell ref="M146:T146"/>
    <mergeCell ref="C154:L154"/>
    <mergeCell ref="M154:N154"/>
    <mergeCell ref="C155:L155"/>
    <mergeCell ref="M155:N155"/>
    <mergeCell ref="C156:L156"/>
    <mergeCell ref="M156:N156"/>
    <mergeCell ref="C152:L152"/>
    <mergeCell ref="M152:N152"/>
    <mergeCell ref="O152:T152"/>
    <mergeCell ref="U152:V152"/>
    <mergeCell ref="C153:L153"/>
    <mergeCell ref="M153:N153"/>
    <mergeCell ref="C157:L157"/>
    <mergeCell ref="M157:N157"/>
    <mergeCell ref="C158:L158"/>
    <mergeCell ref="M158:N158"/>
    <mergeCell ref="O168:P168"/>
    <mergeCell ref="O158:Q158"/>
    <mergeCell ref="S158:X158"/>
    <mergeCell ref="U160:V160"/>
    <mergeCell ref="C164:L164"/>
    <mergeCell ref="C167:L167"/>
    <mergeCell ref="C163:L163"/>
    <mergeCell ref="O163:P163"/>
    <mergeCell ref="O164:P164"/>
    <mergeCell ref="C169:L169"/>
    <mergeCell ref="M169:N169"/>
    <mergeCell ref="O157:X157"/>
    <mergeCell ref="O156:X156"/>
    <mergeCell ref="C170:L170"/>
    <mergeCell ref="M170:N170"/>
    <mergeCell ref="O169:Q169"/>
    <mergeCell ref="O170:Q170"/>
    <mergeCell ref="S169:X169"/>
    <mergeCell ref="S170:X170"/>
    <mergeCell ref="C176:L176"/>
    <mergeCell ref="C177:X177"/>
    <mergeCell ref="C178:X178"/>
    <mergeCell ref="O167:P167"/>
    <mergeCell ref="C161:L161"/>
    <mergeCell ref="M161:N161"/>
    <mergeCell ref="C162:L162"/>
    <mergeCell ref="M162:N162"/>
    <mergeCell ref="C168:L168"/>
    <mergeCell ref="O187:Q187"/>
    <mergeCell ref="C188:L188"/>
    <mergeCell ref="M188:N188"/>
    <mergeCell ref="O188:Q188"/>
    <mergeCell ref="Q164:X164"/>
    <mergeCell ref="Q167:X167"/>
    <mergeCell ref="Q168:X168"/>
    <mergeCell ref="C189:J189"/>
    <mergeCell ref="W189:X189"/>
    <mergeCell ref="C173:L173"/>
    <mergeCell ref="C174:L174"/>
    <mergeCell ref="C175:L175"/>
    <mergeCell ref="C196:L196"/>
    <mergeCell ref="M196:N196"/>
    <mergeCell ref="C171:L171"/>
    <mergeCell ref="C172:L172"/>
    <mergeCell ref="M172:N172"/>
    <mergeCell ref="C183:L183"/>
    <mergeCell ref="M183:T183"/>
    <mergeCell ref="O171:P171"/>
    <mergeCell ref="O173:P173"/>
    <mergeCell ref="O174:P174"/>
    <mergeCell ref="O175:P175"/>
    <mergeCell ref="O176:P176"/>
    <mergeCell ref="O172:T172"/>
    <mergeCell ref="Q171:X171"/>
    <mergeCell ref="Q173:X173"/>
    <mergeCell ref="Q174:X174"/>
    <mergeCell ref="Q175:X175"/>
    <mergeCell ref="Q176:X176"/>
    <mergeCell ref="Q190:X190"/>
    <mergeCell ref="Q191:X191"/>
    <mergeCell ref="Q192:X192"/>
    <mergeCell ref="Q193:X193"/>
    <mergeCell ref="Q194:X194"/>
    <mergeCell ref="M194:N194"/>
    <mergeCell ref="O190:P190"/>
    <mergeCell ref="C197:L197"/>
    <mergeCell ref="M197:N197"/>
    <mergeCell ref="C198:L198"/>
    <mergeCell ref="C194:L194"/>
    <mergeCell ref="O197:Q197"/>
    <mergeCell ref="M190:N190"/>
    <mergeCell ref="M192:N192"/>
    <mergeCell ref="C184:L184"/>
    <mergeCell ref="M184:T184"/>
    <mergeCell ref="C185:L185"/>
    <mergeCell ref="M185:T185"/>
    <mergeCell ref="C180:L180"/>
    <mergeCell ref="M180:T180"/>
    <mergeCell ref="C181:L181"/>
    <mergeCell ref="M181:T181"/>
    <mergeCell ref="C182:L182"/>
    <mergeCell ref="M182:T182"/>
    <mergeCell ref="O191:P191"/>
    <mergeCell ref="O193:P193"/>
    <mergeCell ref="M195:X195"/>
    <mergeCell ref="M198:X198"/>
    <mergeCell ref="C192:L192"/>
    <mergeCell ref="C190:L190"/>
    <mergeCell ref="C191:L191"/>
    <mergeCell ref="C193:L193"/>
    <mergeCell ref="C195:L195"/>
    <mergeCell ref="M189:N189"/>
    <mergeCell ref="O189:Q189"/>
    <mergeCell ref="C186:L186"/>
    <mergeCell ref="M186:N186"/>
    <mergeCell ref="C187:L187"/>
    <mergeCell ref="M187:N187"/>
    <mergeCell ref="C210:L210"/>
    <mergeCell ref="M210:N210"/>
    <mergeCell ref="Q210:R210"/>
    <mergeCell ref="S210:T210"/>
    <mergeCell ref="C211:L211"/>
    <mergeCell ref="M211:N211"/>
    <mergeCell ref="Q211:R211"/>
    <mergeCell ref="C214:L214"/>
    <mergeCell ref="M214:N214"/>
    <mergeCell ref="S214:T214"/>
    <mergeCell ref="Q214:R214"/>
    <mergeCell ref="C205:L205"/>
    <mergeCell ref="C200:L200"/>
    <mergeCell ref="M200:N200"/>
    <mergeCell ref="C201:L201"/>
    <mergeCell ref="M201:N201"/>
    <mergeCell ref="C202:X202"/>
    <mergeCell ref="C206:L206"/>
    <mergeCell ref="C203:X203"/>
    <mergeCell ref="O206:P206"/>
    <mergeCell ref="C208:L208"/>
    <mergeCell ref="M208:N208"/>
    <mergeCell ref="Q208:R208"/>
    <mergeCell ref="S208:V208"/>
    <mergeCell ref="S213:T213"/>
    <mergeCell ref="C209:L209"/>
    <mergeCell ref="M209:N209"/>
    <mergeCell ref="Q209:R209"/>
    <mergeCell ref="C207:L207"/>
    <mergeCell ref="M207:T207"/>
    <mergeCell ref="W209:X209"/>
    <mergeCell ref="C217:L217"/>
    <mergeCell ref="M217:N217"/>
    <mergeCell ref="Q217:R217"/>
    <mergeCell ref="C218:L218"/>
    <mergeCell ref="M218:N218"/>
    <mergeCell ref="Q218:R218"/>
    <mergeCell ref="S225:T225"/>
    <mergeCell ref="Q225:R225"/>
    <mergeCell ref="C215:L215"/>
    <mergeCell ref="M215:N215"/>
    <mergeCell ref="Q215:R215"/>
    <mergeCell ref="C216:L216"/>
    <mergeCell ref="M216:N216"/>
    <mergeCell ref="Q216:R216"/>
    <mergeCell ref="S216:T216"/>
    <mergeCell ref="C212:L212"/>
    <mergeCell ref="M212:N212"/>
    <mergeCell ref="Q212:R212"/>
    <mergeCell ref="C213:L213"/>
    <mergeCell ref="M213:N213"/>
    <mergeCell ref="Q213:R213"/>
    <mergeCell ref="C226:L226"/>
    <mergeCell ref="M226:N226"/>
    <mergeCell ref="Q226:R226"/>
    <mergeCell ref="C227:L227"/>
    <mergeCell ref="M227:N227"/>
    <mergeCell ref="Q227:R227"/>
    <mergeCell ref="C231:L231"/>
    <mergeCell ref="S230:T230"/>
    <mergeCell ref="C223:L223"/>
    <mergeCell ref="M223:N223"/>
    <mergeCell ref="Q223:R223"/>
    <mergeCell ref="C224:L224"/>
    <mergeCell ref="M224:N224"/>
    <mergeCell ref="Q224:R224"/>
    <mergeCell ref="C225:L225"/>
    <mergeCell ref="M225:N225"/>
    <mergeCell ref="C221:L221"/>
    <mergeCell ref="M221:N221"/>
    <mergeCell ref="Q221:R221"/>
    <mergeCell ref="S221:T221"/>
    <mergeCell ref="C222:L222"/>
    <mergeCell ref="M222:N222"/>
    <mergeCell ref="Q222:R222"/>
    <mergeCell ref="C233:X233"/>
    <mergeCell ref="M235:P235"/>
    <mergeCell ref="R235:U235"/>
    <mergeCell ref="C234:L234"/>
    <mergeCell ref="C230:L230"/>
    <mergeCell ref="M230:N230"/>
    <mergeCell ref="Q230:R230"/>
    <mergeCell ref="C232:L232"/>
    <mergeCell ref="N232:O232"/>
    <mergeCell ref="Q232:R232"/>
    <mergeCell ref="S227:T227"/>
    <mergeCell ref="C228:L228"/>
    <mergeCell ref="M228:N228"/>
    <mergeCell ref="Q228:R228"/>
    <mergeCell ref="C229:L229"/>
    <mergeCell ref="M229:N229"/>
    <mergeCell ref="Q229:R229"/>
    <mergeCell ref="S229:T229"/>
    <mergeCell ref="C244:L244"/>
    <mergeCell ref="M244:N244"/>
    <mergeCell ref="R244:S244"/>
    <mergeCell ref="C242:L242"/>
    <mergeCell ref="M242:N242"/>
    <mergeCell ref="R242:S242"/>
    <mergeCell ref="C243:L243"/>
    <mergeCell ref="C238:L238"/>
    <mergeCell ref="C241:L241"/>
    <mergeCell ref="M241:N241"/>
    <mergeCell ref="R241:S241"/>
    <mergeCell ref="O241:P241"/>
    <mergeCell ref="O242:P242"/>
    <mergeCell ref="T241:U241"/>
    <mergeCell ref="T242:U242"/>
    <mergeCell ref="C239:L239"/>
    <mergeCell ref="M239:N239"/>
    <mergeCell ref="R239:S239"/>
    <mergeCell ref="C240:L240"/>
    <mergeCell ref="M240:P240"/>
    <mergeCell ref="R240:U240"/>
    <mergeCell ref="M243:P243"/>
    <mergeCell ref="R243:U243"/>
    <mergeCell ref="M260:P260"/>
    <mergeCell ref="Q260:X260"/>
    <mergeCell ref="C253:L253"/>
    <mergeCell ref="C254:L254"/>
    <mergeCell ref="C248:L248"/>
    <mergeCell ref="C245:L245"/>
    <mergeCell ref="M245:N245"/>
    <mergeCell ref="R245:S245"/>
    <mergeCell ref="C246:L246"/>
    <mergeCell ref="M246:N246"/>
    <mergeCell ref="O246:P246"/>
    <mergeCell ref="C250:L250"/>
    <mergeCell ref="C247:L247"/>
    <mergeCell ref="M254:P254"/>
    <mergeCell ref="R254:U254"/>
    <mergeCell ref="R255:X255"/>
    <mergeCell ref="P255:Q255"/>
    <mergeCell ref="M255:O255"/>
    <mergeCell ref="C255:L255"/>
    <mergeCell ref="C251:L251"/>
    <mergeCell ref="C252:L252"/>
    <mergeCell ref="R249:S249"/>
    <mergeCell ref="R250:U250"/>
    <mergeCell ref="R251:U251"/>
    <mergeCell ref="R252:S252"/>
    <mergeCell ref="R253:S253"/>
    <mergeCell ref="C249:L249"/>
    <mergeCell ref="M249:N249"/>
    <mergeCell ref="M250:P250"/>
    <mergeCell ref="M251:P251"/>
    <mergeCell ref="M252:N252"/>
    <mergeCell ref="M253:N253"/>
    <mergeCell ref="N277:O277"/>
    <mergeCell ref="N278:O278"/>
    <mergeCell ref="N279:O279"/>
    <mergeCell ref="P277:X277"/>
    <mergeCell ref="P278:X278"/>
    <mergeCell ref="P279:X279"/>
    <mergeCell ref="C276:L276"/>
    <mergeCell ref="Q263:X263"/>
    <mergeCell ref="Q269:R269"/>
    <mergeCell ref="S269:V269"/>
    <mergeCell ref="C268:L268"/>
    <mergeCell ref="C260:L260"/>
    <mergeCell ref="C261:L261"/>
    <mergeCell ref="M262:N262"/>
    <mergeCell ref="O262:P262"/>
    <mergeCell ref="Q262:X262"/>
    <mergeCell ref="C263:L263"/>
    <mergeCell ref="M263:N263"/>
    <mergeCell ref="O263:P263"/>
    <mergeCell ref="C267:L267"/>
    <mergeCell ref="W269:X269"/>
    <mergeCell ref="C269:L269"/>
    <mergeCell ref="M269:P269"/>
    <mergeCell ref="W272:X272"/>
    <mergeCell ref="C264:L264"/>
    <mergeCell ref="C265:L265"/>
    <mergeCell ref="C272:L272"/>
    <mergeCell ref="M272:N272"/>
    <mergeCell ref="O272:P272"/>
    <mergeCell ref="Q272:R272"/>
    <mergeCell ref="S272:T272"/>
    <mergeCell ref="U272:V272"/>
    <mergeCell ref="C287:L287"/>
    <mergeCell ref="M287:N287"/>
    <mergeCell ref="R287:S287"/>
    <mergeCell ref="C288:L288"/>
    <mergeCell ref="M288:N288"/>
    <mergeCell ref="R288:S288"/>
    <mergeCell ref="C285:L285"/>
    <mergeCell ref="M285:P285"/>
    <mergeCell ref="R285:U285"/>
    <mergeCell ref="C286:L286"/>
    <mergeCell ref="M286:N286"/>
    <mergeCell ref="R286:S286"/>
    <mergeCell ref="C284:L284"/>
    <mergeCell ref="M284:N284"/>
    <mergeCell ref="R284:S284"/>
    <mergeCell ref="M282:O282"/>
    <mergeCell ref="R282:T282"/>
    <mergeCell ref="L372:M372"/>
    <mergeCell ref="L371:M371"/>
    <mergeCell ref="C335:L335"/>
    <mergeCell ref="C291:L291"/>
    <mergeCell ref="M291:N291"/>
    <mergeCell ref="R291:S291"/>
    <mergeCell ref="C292:L292"/>
    <mergeCell ref="M292:N292"/>
    <mergeCell ref="R292:S292"/>
    <mergeCell ref="C289:L289"/>
    <mergeCell ref="M289:N289"/>
    <mergeCell ref="R289:S289"/>
    <mergeCell ref="C290:L290"/>
    <mergeCell ref="M290:N290"/>
    <mergeCell ref="R290:S290"/>
    <mergeCell ref="M304:P304"/>
    <mergeCell ref="Q304:X304"/>
    <mergeCell ref="M305:P305"/>
    <mergeCell ref="Q305:X305"/>
    <mergeCell ref="R297:U297"/>
    <mergeCell ref="R296:S296"/>
    <mergeCell ref="O324:P324"/>
    <mergeCell ref="Q324:R324"/>
    <mergeCell ref="W325:X325"/>
    <mergeCell ref="W326:X326"/>
    <mergeCell ref="C325:L325"/>
    <mergeCell ref="C295:L295"/>
    <mergeCell ref="M295:N295"/>
    <mergeCell ref="R295:S295"/>
    <mergeCell ref="C296:L296"/>
    <mergeCell ref="M296:N296"/>
    <mergeCell ref="C336:L336"/>
    <mergeCell ref="C358:H358"/>
    <mergeCell ref="C363:H363"/>
    <mergeCell ref="C361:H361"/>
    <mergeCell ref="C360:H360"/>
    <mergeCell ref="I358:J358"/>
    <mergeCell ref="I360:J360"/>
    <mergeCell ref="I362:J362"/>
    <mergeCell ref="I363:J363"/>
    <mergeCell ref="O365:P365"/>
    <mergeCell ref="O366:P366"/>
    <mergeCell ref="I361:J361"/>
    <mergeCell ref="L370:M370"/>
    <mergeCell ref="C371:H371"/>
    <mergeCell ref="C368:H368"/>
    <mergeCell ref="C369:H369"/>
    <mergeCell ref="I364:J364"/>
    <mergeCell ref="I365:J365"/>
    <mergeCell ref="I366:J366"/>
    <mergeCell ref="I367:J367"/>
    <mergeCell ref="I368:J368"/>
    <mergeCell ref="O364:P364"/>
    <mergeCell ref="L368:M368"/>
    <mergeCell ref="O353:P353"/>
    <mergeCell ref="C339:L339"/>
    <mergeCell ref="C374:X374"/>
    <mergeCell ref="C364:H364"/>
    <mergeCell ref="C365:H365"/>
    <mergeCell ref="C370:H370"/>
    <mergeCell ref="O357:P357"/>
    <mergeCell ref="O358:P358"/>
    <mergeCell ref="O360:P360"/>
    <mergeCell ref="O362:P362"/>
    <mergeCell ref="M335:X335"/>
    <mergeCell ref="O330:P330"/>
    <mergeCell ref="Q330:R330"/>
    <mergeCell ref="C331:L331"/>
    <mergeCell ref="M331:N331"/>
    <mergeCell ref="M330:N330"/>
    <mergeCell ref="O331:P331"/>
    <mergeCell ref="Q331:X331"/>
    <mergeCell ref="I352:N352"/>
    <mergeCell ref="I353:J353"/>
    <mergeCell ref="N343:P343"/>
    <mergeCell ref="R343:T343"/>
    <mergeCell ref="C362:H362"/>
    <mergeCell ref="L365:M365"/>
    <mergeCell ref="L366:M366"/>
    <mergeCell ref="L367:M367"/>
    <mergeCell ref="R362:S362"/>
    <mergeCell ref="R363:S363"/>
    <mergeCell ref="C366:H366"/>
    <mergeCell ref="C367:H367"/>
    <mergeCell ref="C372:H372"/>
    <mergeCell ref="C359:H359"/>
    <mergeCell ref="C357:H357"/>
    <mergeCell ref="C356:H356"/>
    <mergeCell ref="C355:H355"/>
    <mergeCell ref="C354:H354"/>
    <mergeCell ref="I355:J355"/>
    <mergeCell ref="I357:J357"/>
    <mergeCell ref="O355:P355"/>
    <mergeCell ref="M321:T321"/>
    <mergeCell ref="I351:W351"/>
    <mergeCell ref="W342:X342"/>
    <mergeCell ref="C343:L343"/>
    <mergeCell ref="W324:X324"/>
    <mergeCell ref="C337:L337"/>
    <mergeCell ref="M337:T337"/>
    <mergeCell ref="C338:L338"/>
    <mergeCell ref="Q345:R345"/>
    <mergeCell ref="S345:X345"/>
    <mergeCell ref="Q346:R346"/>
    <mergeCell ref="Q347:R347"/>
    <mergeCell ref="S346:X346"/>
    <mergeCell ref="S347:X347"/>
    <mergeCell ref="O348:X348"/>
    <mergeCell ref="M339:P339"/>
    <mergeCell ref="O345:P345"/>
    <mergeCell ref="C346:L346"/>
    <mergeCell ref="O346:P346"/>
    <mergeCell ref="C341:L341"/>
    <mergeCell ref="Q339:X339"/>
    <mergeCell ref="C344:L344"/>
    <mergeCell ref="N344:P344"/>
    <mergeCell ref="R344:T344"/>
    <mergeCell ref="O352:T352"/>
    <mergeCell ref="R364:S364"/>
    <mergeCell ref="R365:S365"/>
    <mergeCell ref="R366:S366"/>
    <mergeCell ref="L353:M353"/>
    <mergeCell ref="C281:L281"/>
    <mergeCell ref="C348:L348"/>
    <mergeCell ref="C347:L347"/>
    <mergeCell ref="O347:P347"/>
    <mergeCell ref="C321:L321"/>
    <mergeCell ref="C293:L293"/>
    <mergeCell ref="M293:N293"/>
    <mergeCell ref="R293:S293"/>
    <mergeCell ref="C294:L294"/>
    <mergeCell ref="M294:N294"/>
    <mergeCell ref="R294:S294"/>
    <mergeCell ref="C305:L305"/>
    <mergeCell ref="C299:L299"/>
    <mergeCell ref="M342:O342"/>
    <mergeCell ref="P342:Q342"/>
    <mergeCell ref="R342:T342"/>
    <mergeCell ref="M324:N324"/>
    <mergeCell ref="R359:S359"/>
    <mergeCell ref="O363:P363"/>
    <mergeCell ref="C326:L326"/>
    <mergeCell ref="M326:N326"/>
    <mergeCell ref="C322:L322"/>
    <mergeCell ref="M322:T322"/>
    <mergeCell ref="C323:L323"/>
    <mergeCell ref="C345:L345"/>
    <mergeCell ref="C312:L312"/>
    <mergeCell ref="C308:L308"/>
    <mergeCell ref="M325:N325"/>
    <mergeCell ref="V344:X344"/>
    <mergeCell ref="C342:L342"/>
    <mergeCell ref="C311:L311"/>
    <mergeCell ref="N311:P311"/>
    <mergeCell ref="R311:T311"/>
    <mergeCell ref="C340:L340"/>
    <mergeCell ref="C270:L270"/>
    <mergeCell ref="M270:P270"/>
    <mergeCell ref="Q270:R270"/>
    <mergeCell ref="S270:V270"/>
    <mergeCell ref="C307:L307"/>
    <mergeCell ref="C298:L298"/>
    <mergeCell ref="M323:T323"/>
    <mergeCell ref="C330:L330"/>
    <mergeCell ref="S330:T330"/>
    <mergeCell ref="C324:L324"/>
    <mergeCell ref="S324:T324"/>
    <mergeCell ref="O325:P325"/>
    <mergeCell ref="Q325:R325"/>
    <mergeCell ref="S325:T325"/>
    <mergeCell ref="O326:P326"/>
    <mergeCell ref="Q326:R326"/>
    <mergeCell ref="N276:P276"/>
    <mergeCell ref="R276:T276"/>
    <mergeCell ref="V281:X281"/>
    <mergeCell ref="C277:L277"/>
    <mergeCell ref="C278:L278"/>
    <mergeCell ref="C283:L283"/>
    <mergeCell ref="V276:X276"/>
    <mergeCell ref="M283:N283"/>
    <mergeCell ref="R283:S283"/>
    <mergeCell ref="C279:L279"/>
    <mergeCell ref="C383:L383"/>
    <mergeCell ref="L354:M354"/>
    <mergeCell ref="R354:S354"/>
    <mergeCell ref="R369:S369"/>
    <mergeCell ref="R370:S370"/>
    <mergeCell ref="R371:S371"/>
    <mergeCell ref="R372:S372"/>
    <mergeCell ref="L361:M361"/>
    <mergeCell ref="L359:M359"/>
    <mergeCell ref="L357:M357"/>
    <mergeCell ref="L356:M356"/>
    <mergeCell ref="L362:M362"/>
    <mergeCell ref="L363:M363"/>
    <mergeCell ref="Q82:X82"/>
    <mergeCell ref="Q83:X83"/>
    <mergeCell ref="Q84:X84"/>
    <mergeCell ref="R188:X188"/>
    <mergeCell ref="K189:L189"/>
    <mergeCell ref="U189:V189"/>
    <mergeCell ref="M319:P319"/>
    <mergeCell ref="C304:L304"/>
    <mergeCell ref="M299:N299"/>
    <mergeCell ref="R299:S299"/>
    <mergeCell ref="V311:X311"/>
    <mergeCell ref="N312:O312"/>
    <mergeCell ref="P312:X312"/>
    <mergeCell ref="M306:P306"/>
    <mergeCell ref="L364:M364"/>
    <mergeCell ref="L369:M369"/>
    <mergeCell ref="R353:S353"/>
    <mergeCell ref="R356:S356"/>
    <mergeCell ref="R357:S357"/>
    <mergeCell ref="C257:L257"/>
    <mergeCell ref="N257:W257"/>
    <mergeCell ref="C301:L301"/>
    <mergeCell ref="N301:W301"/>
    <mergeCell ref="C314:L314"/>
    <mergeCell ref="N314:W314"/>
    <mergeCell ref="C333:L333"/>
    <mergeCell ref="N333:W333"/>
    <mergeCell ref="C350:L350"/>
    <mergeCell ref="N350:W350"/>
    <mergeCell ref="C262:L262"/>
    <mergeCell ref="S326:T326"/>
    <mergeCell ref="C329:L329"/>
    <mergeCell ref="M329:X329"/>
    <mergeCell ref="M320:P320"/>
    <mergeCell ref="C306:L306"/>
    <mergeCell ref="C303:L303"/>
    <mergeCell ref="M298:N298"/>
    <mergeCell ref="C309:L309"/>
    <mergeCell ref="R298:S298"/>
    <mergeCell ref="C297:L297"/>
    <mergeCell ref="M297:P297"/>
    <mergeCell ref="C310:L310"/>
    <mergeCell ref="M316:P316"/>
    <mergeCell ref="M317:P317"/>
    <mergeCell ref="M318:P318"/>
    <mergeCell ref="U342:V342"/>
    <mergeCell ref="M275:P275"/>
    <mergeCell ref="Q275:X275"/>
    <mergeCell ref="W270:X270"/>
    <mergeCell ref="C266:L266"/>
    <mergeCell ref="W266:X266"/>
    <mergeCell ref="M98:P98"/>
    <mergeCell ref="Q98:X98"/>
    <mergeCell ref="U115:V115"/>
    <mergeCell ref="W115:X115"/>
    <mergeCell ref="W109:X109"/>
    <mergeCell ref="M134:P134"/>
    <mergeCell ref="M135:P135"/>
    <mergeCell ref="Q129:X129"/>
    <mergeCell ref="Q130:X130"/>
    <mergeCell ref="Q131:X131"/>
    <mergeCell ref="Q132:X132"/>
    <mergeCell ref="Q133:X133"/>
    <mergeCell ref="Q128:X128"/>
    <mergeCell ref="Q97:X97"/>
    <mergeCell ref="M133:P133"/>
    <mergeCell ref="C256:X256"/>
    <mergeCell ref="C259:L259"/>
    <mergeCell ref="M259:N259"/>
    <mergeCell ref="O259:X259"/>
    <mergeCell ref="R237:S237"/>
    <mergeCell ref="C236:L236"/>
    <mergeCell ref="M236:P236"/>
    <mergeCell ref="R236:U236"/>
    <mergeCell ref="T232:U232"/>
    <mergeCell ref="W232:X232"/>
    <mergeCell ref="M136:N136"/>
    <mergeCell ref="W136:X136"/>
    <mergeCell ref="O136:V136"/>
    <mergeCell ref="C136:L136"/>
    <mergeCell ref="M122:P122"/>
    <mergeCell ref="Q122:X122"/>
    <mergeCell ref="M124:P124"/>
    <mergeCell ref="C271:L271"/>
    <mergeCell ref="C275:L275"/>
    <mergeCell ref="N271:O271"/>
    <mergeCell ref="P271:X271"/>
    <mergeCell ref="Q261:X261"/>
    <mergeCell ref="M261:P261"/>
    <mergeCell ref="N30:O30"/>
    <mergeCell ref="C31:F31"/>
    <mergeCell ref="S30:T30"/>
    <mergeCell ref="K32:L32"/>
    <mergeCell ref="O201:Q201"/>
    <mergeCell ref="M205:N205"/>
    <mergeCell ref="O205:P205"/>
    <mergeCell ref="Q205:X205"/>
    <mergeCell ref="Q206:X206"/>
    <mergeCell ref="M231:P231"/>
    <mergeCell ref="U231:X231"/>
    <mergeCell ref="Q231:T231"/>
    <mergeCell ref="R246:U246"/>
    <mergeCell ref="M247:P247"/>
    <mergeCell ref="M248:N248"/>
    <mergeCell ref="R247:U247"/>
    <mergeCell ref="R248:S248"/>
    <mergeCell ref="U225:V225"/>
    <mergeCell ref="U209:V209"/>
    <mergeCell ref="O192:P192"/>
    <mergeCell ref="O194:P194"/>
    <mergeCell ref="M199:N199"/>
    <mergeCell ref="Q199:X199"/>
    <mergeCell ref="O199:P199"/>
    <mergeCell ref="C237:L237"/>
    <mergeCell ref="M237:N237"/>
    <mergeCell ref="B238:B242"/>
    <mergeCell ref="U324:V324"/>
    <mergeCell ref="U325:V325"/>
    <mergeCell ref="U326:V326"/>
    <mergeCell ref="C316:L316"/>
    <mergeCell ref="C317:L317"/>
    <mergeCell ref="C318:L318"/>
    <mergeCell ref="C319:L319"/>
    <mergeCell ref="C320:L320"/>
    <mergeCell ref="V14:X14"/>
    <mergeCell ref="S31:T31"/>
    <mergeCell ref="U31:W31"/>
    <mergeCell ref="P31:R31"/>
    <mergeCell ref="N31:O31"/>
    <mergeCell ref="U30:V30"/>
    <mergeCell ref="N238:O238"/>
    <mergeCell ref="P238:Q238"/>
    <mergeCell ref="S238:T238"/>
    <mergeCell ref="U238:V238"/>
    <mergeCell ref="N268:O268"/>
    <mergeCell ref="Q268:R268"/>
    <mergeCell ref="S268:T268"/>
    <mergeCell ref="U268:X268"/>
    <mergeCell ref="Q265:X265"/>
    <mergeCell ref="Q267:X267"/>
    <mergeCell ref="Q264:X264"/>
    <mergeCell ref="M264:P264"/>
    <mergeCell ref="M265:P265"/>
    <mergeCell ref="M267:P267"/>
    <mergeCell ref="M266:P266"/>
    <mergeCell ref="C32:G32"/>
    <mergeCell ref="P30:R30"/>
    <mergeCell ref="M125:P125"/>
    <mergeCell ref="Q125:X125"/>
    <mergeCell ref="Q124:X124"/>
    <mergeCell ref="Q123:X123"/>
    <mergeCell ref="C120:L120"/>
    <mergeCell ref="Q116:X116"/>
    <mergeCell ref="Q117:X117"/>
    <mergeCell ref="Q118:X118"/>
    <mergeCell ref="Q119:X119"/>
    <mergeCell ref="Q120:X120"/>
    <mergeCell ref="Q121:X121"/>
    <mergeCell ref="N117:P117"/>
    <mergeCell ref="N119:P119"/>
    <mergeCell ref="N121:P121"/>
    <mergeCell ref="C117:L117"/>
    <mergeCell ref="C122:L122"/>
    <mergeCell ref="N120:P120"/>
    <mergeCell ref="C121:L121"/>
    <mergeCell ref="C119:L119"/>
  </mergeCells>
  <conditionalFormatting sqref="A34:X34">
    <cfRule type="expression" dxfId="277" priority="283">
      <formula>$Z$34=0</formula>
    </cfRule>
  </conditionalFormatting>
  <conditionalFormatting sqref="A35:X35">
    <cfRule type="expression" dxfId="276" priority="282">
      <formula>$Z$35=0</formula>
    </cfRule>
  </conditionalFormatting>
  <conditionalFormatting sqref="A36:X36">
    <cfRule type="expression" dxfId="275" priority="281">
      <formula>$Z$36=0</formula>
    </cfRule>
  </conditionalFormatting>
  <conditionalFormatting sqref="A81:X81">
    <cfRule type="expression" dxfId="274" priority="280">
      <formula>$Z$81=0</formula>
    </cfRule>
  </conditionalFormatting>
  <conditionalFormatting sqref="A82:X82">
    <cfRule type="expression" dxfId="273" priority="279">
      <formula>$Z$82=0</formula>
    </cfRule>
  </conditionalFormatting>
  <conditionalFormatting sqref="A83:X83">
    <cfRule type="expression" dxfId="272" priority="278">
      <formula>$Z$83=0</formula>
    </cfRule>
  </conditionalFormatting>
  <conditionalFormatting sqref="A84:X84">
    <cfRule type="expression" dxfId="271" priority="277">
      <formula>$Z$84=0</formula>
    </cfRule>
  </conditionalFormatting>
  <conditionalFormatting sqref="A85:X85">
    <cfRule type="expression" dxfId="270" priority="276">
      <formula>$Z$85=0</formula>
    </cfRule>
  </conditionalFormatting>
  <conditionalFormatting sqref="A86:X86">
    <cfRule type="expression" dxfId="269" priority="275">
      <formula>$Z$86=0</formula>
    </cfRule>
  </conditionalFormatting>
  <conditionalFormatting sqref="A87:X87">
    <cfRule type="expression" dxfId="268" priority="274">
      <formula>$Z$87=0</formula>
    </cfRule>
  </conditionalFormatting>
  <conditionalFormatting sqref="A88:X88">
    <cfRule type="expression" dxfId="267" priority="273">
      <formula>$Z$88=0</formula>
    </cfRule>
  </conditionalFormatting>
  <conditionalFormatting sqref="A89:X89">
    <cfRule type="expression" dxfId="266" priority="272">
      <formula>$Z$89=0</formula>
    </cfRule>
  </conditionalFormatting>
  <conditionalFormatting sqref="A90:X90">
    <cfRule type="expression" dxfId="265" priority="271">
      <formula>$Z$90=0</formula>
    </cfRule>
  </conditionalFormatting>
  <conditionalFormatting sqref="A91:T91 V91:X91">
    <cfRule type="expression" dxfId="264" priority="270">
      <formula>$Z$91=0</formula>
    </cfRule>
  </conditionalFormatting>
  <conditionalFormatting sqref="A92:T92 V92:X92">
    <cfRule type="expression" dxfId="263" priority="269">
      <formula>$Z$92=0</formula>
    </cfRule>
  </conditionalFormatting>
  <conditionalFormatting sqref="A93:X93">
    <cfRule type="expression" dxfId="262" priority="268">
      <formula>$Z$93=0</formula>
    </cfRule>
  </conditionalFormatting>
  <conditionalFormatting sqref="A94:X94">
    <cfRule type="expression" dxfId="261" priority="267">
      <formula>$Z$94=0</formula>
    </cfRule>
  </conditionalFormatting>
  <conditionalFormatting sqref="A98:X98">
    <cfRule type="expression" dxfId="260" priority="266">
      <formula>$Z$98=0</formula>
    </cfRule>
  </conditionalFormatting>
  <conditionalFormatting sqref="A99:X99">
    <cfRule type="expression" dxfId="259" priority="265">
      <formula>$Z$99=0</formula>
    </cfRule>
  </conditionalFormatting>
  <conditionalFormatting sqref="A100:X100">
    <cfRule type="expression" dxfId="258" priority="264">
      <formula>$Z$100=0</formula>
    </cfRule>
  </conditionalFormatting>
  <conditionalFormatting sqref="A107:X107">
    <cfRule type="expression" dxfId="257" priority="261">
      <formula>$Z$107=0</formula>
    </cfRule>
  </conditionalFormatting>
  <conditionalFormatting sqref="A108:X108">
    <cfRule type="expression" dxfId="256" priority="260">
      <formula>$Z$108=0</formula>
    </cfRule>
  </conditionalFormatting>
  <conditionalFormatting sqref="A109:P109 U109:X109">
    <cfRule type="expression" dxfId="255" priority="259">
      <formula>$Z$109=0</formula>
    </cfRule>
  </conditionalFormatting>
  <conditionalFormatting sqref="A112:L112 U112:X112 O112:P112">
    <cfRule type="expression" dxfId="254" priority="258">
      <formula>$Z$112=0</formula>
    </cfRule>
  </conditionalFormatting>
  <conditionalFormatting sqref="A113:P113 U113:X113">
    <cfRule type="expression" dxfId="253" priority="257">
      <formula>$Z$113=0</formula>
    </cfRule>
  </conditionalFormatting>
  <conditionalFormatting sqref="A115:L115 N115:X115">
    <cfRule type="expression" dxfId="252" priority="256">
      <formula>$Z$115=0</formula>
    </cfRule>
  </conditionalFormatting>
  <conditionalFormatting sqref="A116:L116">
    <cfRule type="expression" dxfId="251" priority="255">
      <formula>$Z$116=0</formula>
    </cfRule>
  </conditionalFormatting>
  <conditionalFormatting sqref="A117:L117 C118:L118">
    <cfRule type="expression" dxfId="250" priority="254">
      <formula>$Z$117=0</formula>
    </cfRule>
  </conditionalFormatting>
  <conditionalFormatting sqref="A118:B118 C119:L121">
    <cfRule type="expression" dxfId="249" priority="253">
      <formula>$Z$118=0</formula>
    </cfRule>
  </conditionalFormatting>
  <conditionalFormatting sqref="A119:B119">
    <cfRule type="expression" dxfId="248" priority="252">
      <formula>$Z$119=0</formula>
    </cfRule>
  </conditionalFormatting>
  <conditionalFormatting sqref="A120:B120 C122:L122">
    <cfRule type="expression" dxfId="247" priority="251">
      <formula>$Z$120=0</formula>
    </cfRule>
  </conditionalFormatting>
  <conditionalFormatting sqref="A121:B121">
    <cfRule type="expression" dxfId="246" priority="250">
      <formula>$Z$121=0</formula>
    </cfRule>
  </conditionalFormatting>
  <conditionalFormatting sqref="A122:B122 C123:L123">
    <cfRule type="expression" dxfId="245" priority="249">
      <formula>$Z$122=0</formula>
    </cfRule>
  </conditionalFormatting>
  <conditionalFormatting sqref="A123:B123">
    <cfRule type="expression" dxfId="244" priority="248">
      <formula>$Z$123=0</formula>
    </cfRule>
  </conditionalFormatting>
  <conditionalFormatting sqref="A124:M124 C125:M125">
    <cfRule type="expression" dxfId="243" priority="247">
      <formula>$Z$124=0</formula>
    </cfRule>
  </conditionalFormatting>
  <conditionalFormatting sqref="A125:B125 Q124:Q125">
    <cfRule type="expression" dxfId="242" priority="246">
      <formula>$Z$125=0</formula>
    </cfRule>
  </conditionalFormatting>
  <conditionalFormatting sqref="A129:X129">
    <cfRule type="expression" dxfId="241" priority="245">
      <formula>$Z$129=0</formula>
    </cfRule>
  </conditionalFormatting>
  <conditionalFormatting sqref="A130:X130">
    <cfRule type="expression" dxfId="240" priority="244">
      <formula>$Z$130=0</formula>
    </cfRule>
  </conditionalFormatting>
  <conditionalFormatting sqref="A131:X131">
    <cfRule type="expression" dxfId="239" priority="243">
      <formula>$Z$131=0</formula>
    </cfRule>
  </conditionalFormatting>
  <conditionalFormatting sqref="A132:X132">
    <cfRule type="expression" dxfId="238" priority="242">
      <formula>$Z$132=0</formula>
    </cfRule>
  </conditionalFormatting>
  <conditionalFormatting sqref="A133:X133">
    <cfRule type="expression" dxfId="237" priority="241">
      <formula>$Z$133=0</formula>
    </cfRule>
  </conditionalFormatting>
  <conditionalFormatting sqref="A134:X134">
    <cfRule type="expression" dxfId="236" priority="240">
      <formula>$Z$134=0</formula>
    </cfRule>
  </conditionalFormatting>
  <conditionalFormatting sqref="A135:X135">
    <cfRule type="expression" dxfId="235" priority="239">
      <formula>$Z$135=0</formula>
    </cfRule>
  </conditionalFormatting>
  <conditionalFormatting sqref="A136:C136 M136 O136 W136">
    <cfRule type="expression" dxfId="234" priority="238">
      <formula>$Z$136=0</formula>
    </cfRule>
  </conditionalFormatting>
  <conditionalFormatting sqref="A137:X137">
    <cfRule type="expression" dxfId="233" priority="237">
      <formula>$Z$137=0</formula>
    </cfRule>
  </conditionalFormatting>
  <conditionalFormatting sqref="A138:X138">
    <cfRule type="expression" dxfId="232" priority="236">
      <formula>$Z$138=0</formula>
    </cfRule>
  </conditionalFormatting>
  <conditionalFormatting sqref="A101:X101 A102:R102 U102:X102">
    <cfRule type="expression" dxfId="231" priority="235">
      <formula>$Z$102=0</formula>
    </cfRule>
  </conditionalFormatting>
  <conditionalFormatting sqref="A103:X103 A104:P104 W104:X104">
    <cfRule type="expression" dxfId="230" priority="234">
      <formula>$Z$104=0</formula>
    </cfRule>
  </conditionalFormatting>
  <conditionalFormatting sqref="A105:R105 U105:X105">
    <cfRule type="expression" dxfId="229" priority="233">
      <formula>$Z$105=0</formula>
    </cfRule>
  </conditionalFormatting>
  <conditionalFormatting sqref="A142:X142">
    <cfRule type="expression" dxfId="228" priority="232">
      <formula>$Z$142=0</formula>
    </cfRule>
  </conditionalFormatting>
  <conditionalFormatting sqref="A143:X143">
    <cfRule type="expression" dxfId="227" priority="231">
      <formula>$Z$143=0</formula>
    </cfRule>
  </conditionalFormatting>
  <conditionalFormatting sqref="A144:X144">
    <cfRule type="expression" dxfId="226" priority="229">
      <formula>$Z$144=0</formula>
    </cfRule>
    <cfRule type="expression" dxfId="225" priority="230">
      <formula>$Z$13=0</formula>
    </cfRule>
  </conditionalFormatting>
  <conditionalFormatting sqref="A145:T145 V145:X145">
    <cfRule type="expression" dxfId="224" priority="228">
      <formula>$Z$145=0</formula>
    </cfRule>
  </conditionalFormatting>
  <conditionalFormatting sqref="A146:T146 V146:X146">
    <cfRule type="expression" dxfId="223" priority="227">
      <formula>$Z$146=0</formula>
    </cfRule>
  </conditionalFormatting>
  <conditionalFormatting sqref="A147:X147">
    <cfRule type="expression" dxfId="222" priority="226">
      <formula>$Z$147=0</formula>
    </cfRule>
  </conditionalFormatting>
  <conditionalFormatting sqref="A148:X148">
    <cfRule type="expression" dxfId="221" priority="225">
      <formula>$Z$148=0</formula>
    </cfRule>
  </conditionalFormatting>
  <conditionalFormatting sqref="A149:X149">
    <cfRule type="expression" dxfId="220" priority="224">
      <formula>$Z$149=0</formula>
    </cfRule>
  </conditionalFormatting>
  <conditionalFormatting sqref="A150:X150">
    <cfRule type="expression" dxfId="219" priority="223">
      <formula>$Z$150=0</formula>
    </cfRule>
  </conditionalFormatting>
  <conditionalFormatting sqref="A151:X151">
    <cfRule type="expression" dxfId="218" priority="222">
      <formula>$Z$151=0</formula>
    </cfRule>
  </conditionalFormatting>
  <conditionalFormatting sqref="A152:X152">
    <cfRule type="expression" dxfId="217" priority="221">
      <formula>$Z$152=0</formula>
    </cfRule>
  </conditionalFormatting>
  <conditionalFormatting sqref="A153:Q153 S153:X153">
    <cfRule type="expression" dxfId="216" priority="220">
      <formula>$Z$153=0</formula>
    </cfRule>
  </conditionalFormatting>
  <conditionalFormatting sqref="A154:X154">
    <cfRule type="expression" dxfId="215" priority="219">
      <formula>$Z$154=0</formula>
    </cfRule>
  </conditionalFormatting>
  <conditionalFormatting sqref="A155:X155">
    <cfRule type="expression" dxfId="214" priority="218">
      <formula>$Z$155=0</formula>
    </cfRule>
  </conditionalFormatting>
  <conditionalFormatting sqref="A156:X156">
    <cfRule type="expression" dxfId="213" priority="217">
      <formula>$Z$156=0</formula>
    </cfRule>
  </conditionalFormatting>
  <conditionalFormatting sqref="A157:X157">
    <cfRule type="expression" dxfId="212" priority="216">
      <formula>$Z$157=0</formula>
    </cfRule>
  </conditionalFormatting>
  <conditionalFormatting sqref="A158:Q158 S158:X158">
    <cfRule type="expression" dxfId="211" priority="215">
      <formula>$Z$158=0</formula>
    </cfRule>
  </conditionalFormatting>
  <conditionalFormatting sqref="A159:X159">
    <cfRule type="expression" dxfId="210" priority="214">
      <formula>$Z$159=0</formula>
    </cfRule>
  </conditionalFormatting>
  <conditionalFormatting sqref="A160:X160">
    <cfRule type="expression" dxfId="209" priority="213">
      <formula>$Z$160=0</formula>
    </cfRule>
  </conditionalFormatting>
  <conditionalFormatting sqref="A161:X161">
    <cfRule type="expression" dxfId="208" priority="212">
      <formula>$Z$161=0</formula>
    </cfRule>
  </conditionalFormatting>
  <conditionalFormatting sqref="A162:X162">
    <cfRule type="expression" dxfId="207" priority="211">
      <formula>$Z$162=0</formula>
    </cfRule>
  </conditionalFormatting>
  <conditionalFormatting sqref="A163:L163 N163:X163 N116:N121">
    <cfRule type="expression" dxfId="206" priority="210">
      <formula>$Z$163=0</formula>
    </cfRule>
  </conditionalFormatting>
  <conditionalFormatting sqref="A164:L164 N164:X164">
    <cfRule type="expression" dxfId="205" priority="209">
      <formula>$Z$164=0</formula>
    </cfRule>
  </conditionalFormatting>
  <conditionalFormatting sqref="A167:L167 N167:P167">
    <cfRule type="expression" dxfId="204" priority="208">
      <formula>$Z$167=0</formula>
    </cfRule>
  </conditionalFormatting>
  <conditionalFormatting sqref="A168:L168 N168:X168 B169:B171 B174 B177">
    <cfRule type="expression" dxfId="203" priority="207">
      <formula>$Z$168=0</formula>
    </cfRule>
  </conditionalFormatting>
  <conditionalFormatting sqref="A173 N173:X173 C173:L173">
    <cfRule type="expression" dxfId="202" priority="206">
      <formula>$Z$173=0</formula>
    </cfRule>
  </conditionalFormatting>
  <conditionalFormatting sqref="A174 N174:X174 C174:L174">
    <cfRule type="expression" dxfId="201" priority="205">
      <formula>$Z$174=0</formula>
    </cfRule>
  </conditionalFormatting>
  <conditionalFormatting sqref="A175 N175:P175 C175:L175">
    <cfRule type="expression" dxfId="200" priority="204">
      <formula>$Z$175=0</formula>
    </cfRule>
  </conditionalFormatting>
  <conditionalFormatting sqref="A176 N176:P176 C176:L176">
    <cfRule type="expression" dxfId="199" priority="203">
      <formula>$Z$176=0</formula>
    </cfRule>
  </conditionalFormatting>
  <conditionalFormatting sqref="A180:X180">
    <cfRule type="expression" dxfId="198" priority="202">
      <formula>$Z$180=0</formula>
    </cfRule>
  </conditionalFormatting>
  <conditionalFormatting sqref="A181:X181">
    <cfRule type="expression" dxfId="197" priority="201">
      <formula>$Z$181=0</formula>
    </cfRule>
  </conditionalFormatting>
  <conditionalFormatting sqref="A182:X182">
    <cfRule type="expression" dxfId="196" priority="200">
      <formula>$Z$182=0</formula>
    </cfRule>
  </conditionalFormatting>
  <conditionalFormatting sqref="A183:T183 V183:X183">
    <cfRule type="expression" dxfId="195" priority="199">
      <formula>$Z$183=0</formula>
    </cfRule>
  </conditionalFormatting>
  <conditionalFormatting sqref="A184:T184 V184:X184">
    <cfRule type="expression" dxfId="194" priority="198">
      <formula>$Z$184=0</formula>
    </cfRule>
  </conditionalFormatting>
  <conditionalFormatting sqref="A185:X185">
    <cfRule type="expression" dxfId="193" priority="197">
      <formula>$Z$185=0</formula>
    </cfRule>
  </conditionalFormatting>
  <conditionalFormatting sqref="A186:X186">
    <cfRule type="expression" dxfId="192" priority="196">
      <formula>$Z$186=0</formula>
    </cfRule>
  </conditionalFormatting>
  <conditionalFormatting sqref="A187:Q187 S187:X187">
    <cfRule type="expression" dxfId="191" priority="195">
      <formula>$Z$187=0</formula>
    </cfRule>
  </conditionalFormatting>
  <conditionalFormatting sqref="A188:X188">
    <cfRule type="expression" dxfId="190" priority="194">
      <formula>$Z$188=0</formula>
    </cfRule>
  </conditionalFormatting>
  <conditionalFormatting sqref="A189:Q189 S189:X189">
    <cfRule type="expression" dxfId="189" priority="193">
      <formula>$Z$189=0</formula>
    </cfRule>
  </conditionalFormatting>
  <conditionalFormatting sqref="A190:X190">
    <cfRule type="expression" dxfId="188" priority="192">
      <formula>$Z$190=0</formula>
    </cfRule>
  </conditionalFormatting>
  <conditionalFormatting sqref="A191:L191 N191:X191">
    <cfRule type="expression" dxfId="187" priority="191">
      <formula>$Z$191=0</formula>
    </cfRule>
  </conditionalFormatting>
  <conditionalFormatting sqref="A192:X192">
    <cfRule type="expression" dxfId="186" priority="190">
      <formula>$Z$192=0</formula>
    </cfRule>
  </conditionalFormatting>
  <conditionalFormatting sqref="A193:L193 N193:X193">
    <cfRule type="expression" dxfId="185" priority="189">
      <formula>$Z$193=0</formula>
    </cfRule>
  </conditionalFormatting>
  <conditionalFormatting sqref="A194:X194">
    <cfRule type="expression" dxfId="184" priority="188">
      <formula>$Z$194=0</formula>
    </cfRule>
  </conditionalFormatting>
  <conditionalFormatting sqref="A195:L195">
    <cfRule type="expression" dxfId="183" priority="187">
      <formula>$Z$195=0</formula>
    </cfRule>
  </conditionalFormatting>
  <conditionalFormatting sqref="A196:L196 O196:X196">
    <cfRule type="expression" dxfId="182" priority="186">
      <formula>$Z$196=0</formula>
    </cfRule>
  </conditionalFormatting>
  <conditionalFormatting sqref="A197:L197 S197:X197 O197:Q197">
    <cfRule type="expression" dxfId="181" priority="185">
      <formula>$Z$197=0</formula>
    </cfRule>
  </conditionalFormatting>
  <conditionalFormatting sqref="A198:X198">
    <cfRule type="expression" dxfId="180" priority="184">
      <formula>$Z$198=0</formula>
    </cfRule>
  </conditionalFormatting>
  <conditionalFormatting sqref="A199:X199">
    <cfRule type="expression" dxfId="179" priority="183">
      <formula>$Z$199=0</formula>
    </cfRule>
  </conditionalFormatting>
  <conditionalFormatting sqref="A200:X200">
    <cfRule type="expression" dxfId="178" priority="182">
      <formula>$Z$200=0</formula>
    </cfRule>
  </conditionalFormatting>
  <conditionalFormatting sqref="A201:Q201 S201:X201">
    <cfRule type="expression" dxfId="177" priority="181">
      <formula>$Z$201=0</formula>
    </cfRule>
  </conditionalFormatting>
  <conditionalFormatting sqref="A205:X205">
    <cfRule type="expression" dxfId="176" priority="180">
      <formula>$Z$205=0</formula>
    </cfRule>
  </conditionalFormatting>
  <conditionalFormatting sqref="A206:L206 N206:X206">
    <cfRule type="expression" dxfId="175" priority="179">
      <formula>$Z$206=0</formula>
    </cfRule>
  </conditionalFormatting>
  <conditionalFormatting sqref="A207:T207 V207:X207">
    <cfRule type="expression" dxfId="174" priority="178">
      <formula>$Z$207=0</formula>
    </cfRule>
  </conditionalFormatting>
  <conditionalFormatting sqref="A208:V208 X208">
    <cfRule type="expression" dxfId="173" priority="177">
      <formula>$Z$208=0</formula>
    </cfRule>
  </conditionalFormatting>
  <conditionalFormatting sqref="A209:X209">
    <cfRule type="expression" dxfId="172" priority="176">
      <formula>$Z$209=0</formula>
    </cfRule>
  </conditionalFormatting>
  <conditionalFormatting sqref="A210:X210 Q211:R218 Q221:R230">
    <cfRule type="expression" dxfId="171" priority="175">
      <formula>$Z$210=0</formula>
    </cfRule>
  </conditionalFormatting>
  <conditionalFormatting sqref="A211:P211 S211:X211">
    <cfRule type="expression" dxfId="170" priority="174">
      <formula>$Z$211=0</formula>
    </cfRule>
  </conditionalFormatting>
  <conditionalFormatting sqref="A212:P212 S212:X212">
    <cfRule type="expression" dxfId="169" priority="173">
      <formula>$Z$212=0</formula>
    </cfRule>
  </conditionalFormatting>
  <conditionalFormatting sqref="A213:P213 S213:X213">
    <cfRule type="expression" dxfId="168" priority="172">
      <formula>$Z$213=0</formula>
    </cfRule>
  </conditionalFormatting>
  <conditionalFormatting sqref="A214:P214 S214:X214">
    <cfRule type="expression" dxfId="167" priority="171">
      <formula>$Z$214=0</formula>
    </cfRule>
  </conditionalFormatting>
  <conditionalFormatting sqref="A215:P215 S215:X215">
    <cfRule type="expression" dxfId="166" priority="170">
      <formula>$Z$215=0</formula>
    </cfRule>
  </conditionalFormatting>
  <conditionalFormatting sqref="A216:P216 S216:X216">
    <cfRule type="expression" dxfId="165" priority="169">
      <formula>$Z$216=0</formula>
    </cfRule>
  </conditionalFormatting>
  <conditionalFormatting sqref="A217:P217 S217:X217">
    <cfRule type="expression" dxfId="164" priority="168">
      <formula>$Z$217=0</formula>
    </cfRule>
  </conditionalFormatting>
  <conditionalFormatting sqref="A218:P218 S218:X218">
    <cfRule type="expression" dxfId="163" priority="167">
      <formula>$Z$218=0</formula>
    </cfRule>
  </conditionalFormatting>
  <conditionalFormatting sqref="A221:P221 S221:X221">
    <cfRule type="expression" dxfId="162" priority="166">
      <formula>$Z$221=0</formula>
    </cfRule>
  </conditionalFormatting>
  <conditionalFormatting sqref="A222:P222 S222:X222">
    <cfRule type="expression" dxfId="161" priority="165">
      <formula>$Z$222=0</formula>
    </cfRule>
  </conditionalFormatting>
  <conditionalFormatting sqref="A223:P223 S223:X223">
    <cfRule type="expression" dxfId="160" priority="164">
      <formula>$Z$223=0</formula>
    </cfRule>
  </conditionalFormatting>
  <conditionalFormatting sqref="A224:P224 S224:X224">
    <cfRule type="expression" dxfId="159" priority="163">
      <formula>$Z$224=0</formula>
    </cfRule>
  </conditionalFormatting>
  <conditionalFormatting sqref="A225:P225 S225:X225">
    <cfRule type="expression" dxfId="158" priority="162">
      <formula>$Z$225=0</formula>
    </cfRule>
  </conditionalFormatting>
  <conditionalFormatting sqref="A226:P226 S226:X226">
    <cfRule type="expression" dxfId="157" priority="161">
      <formula>$Z$226=0</formula>
    </cfRule>
  </conditionalFormatting>
  <conditionalFormatting sqref="A227:P227 S227:X227">
    <cfRule type="expression" dxfId="156" priority="160">
      <formula>$Z$227=0</formula>
    </cfRule>
  </conditionalFormatting>
  <conditionalFormatting sqref="A228:P228 S228:X228">
    <cfRule type="expression" dxfId="155" priority="159">
      <formula>$Z$228=0</formula>
    </cfRule>
  </conditionalFormatting>
  <conditionalFormatting sqref="A229:P229 S229:X229 W230">
    <cfRule type="expression" dxfId="154" priority="158">
      <formula>$Z$229=0</formula>
    </cfRule>
  </conditionalFormatting>
  <conditionalFormatting sqref="A230:P230 S230:V230 X230">
    <cfRule type="expression" dxfId="153" priority="157">
      <formula>$Z$230=0</formula>
    </cfRule>
  </conditionalFormatting>
  <conditionalFormatting sqref="A231:X231">
    <cfRule type="expression" dxfId="152" priority="156">
      <formula>$Z$231=0</formula>
    </cfRule>
  </conditionalFormatting>
  <conditionalFormatting sqref="A232:L232 N232:O232 Q232:R232 T232:U232 W232:X232">
    <cfRule type="expression" dxfId="151" priority="155">
      <formula>$Z$232=0</formula>
    </cfRule>
  </conditionalFormatting>
  <conditionalFormatting sqref="A236:X236 B237:B238 B243:B252">
    <cfRule type="expression" dxfId="150" priority="154">
      <formula>$Z$236=0</formula>
    </cfRule>
  </conditionalFormatting>
  <conditionalFormatting sqref="A237 C237:X237">
    <cfRule type="expression" dxfId="149" priority="153">
      <formula>$Z$237=0</formula>
    </cfRule>
  </conditionalFormatting>
  <conditionalFormatting sqref="A238 W238:X238 N238 C238:L238">
    <cfRule type="expression" dxfId="148" priority="152">
      <formula>$Z$238=0</formula>
    </cfRule>
  </conditionalFormatting>
  <conditionalFormatting sqref="A239 C239:X239">
    <cfRule type="expression" dxfId="147" priority="151">
      <formula>$Z$239=0</formula>
    </cfRule>
  </conditionalFormatting>
  <conditionalFormatting sqref="A240 C240:X240">
    <cfRule type="expression" dxfId="146" priority="150">
      <formula>$Z$240=0</formula>
    </cfRule>
  </conditionalFormatting>
  <conditionalFormatting sqref="A241 C241:X241">
    <cfRule type="expression" dxfId="145" priority="149">
      <formula>$Z$241=0</formula>
    </cfRule>
  </conditionalFormatting>
  <conditionalFormatting sqref="A242 C242:X242">
    <cfRule type="expression" dxfId="144" priority="148">
      <formula>$Z$242=0</formula>
    </cfRule>
  </conditionalFormatting>
  <conditionalFormatting sqref="A243 C243:X243">
    <cfRule type="expression" dxfId="143" priority="147">
      <formula>$Z$243=0</formula>
    </cfRule>
  </conditionalFormatting>
  <conditionalFormatting sqref="A244 C244:X244">
    <cfRule type="expression" dxfId="142" priority="146">
      <formula>$Z$244=0</formula>
    </cfRule>
  </conditionalFormatting>
  <conditionalFormatting sqref="A245 C245:X245">
    <cfRule type="expression" dxfId="141" priority="145">
      <formula>$Z$245=0</formula>
    </cfRule>
  </conditionalFormatting>
  <conditionalFormatting sqref="A246 W246:X246 C246:U246">
    <cfRule type="expression" dxfId="140" priority="144">
      <formula>$Z$246=0</formula>
    </cfRule>
  </conditionalFormatting>
  <conditionalFormatting sqref="A247 C247:L247 Q247:X247">
    <cfRule type="expression" dxfId="139" priority="143">
      <formula>$Z$247=0</formula>
    </cfRule>
  </conditionalFormatting>
  <conditionalFormatting sqref="A248 C248:L248 O248:X248">
    <cfRule type="expression" dxfId="138" priority="142">
      <formula>$Z$248=0</formula>
    </cfRule>
  </conditionalFormatting>
  <conditionalFormatting sqref="A249 C249:L249 O249:X249">
    <cfRule type="expression" dxfId="137" priority="141">
      <formula>$Z$249=0</formula>
    </cfRule>
  </conditionalFormatting>
  <conditionalFormatting sqref="A250 C250:L250 Q250:X250">
    <cfRule type="expression" dxfId="136" priority="140">
      <formula>$Z$250=0</formula>
    </cfRule>
  </conditionalFormatting>
  <conditionalFormatting sqref="A251 C251:L251 Q251:X251">
    <cfRule type="expression" dxfId="135" priority="139">
      <formula>$Z$251=0</formula>
    </cfRule>
  </conditionalFormatting>
  <conditionalFormatting sqref="A252 C252:L252 O252:X252">
    <cfRule type="expression" dxfId="134" priority="138">
      <formula>$Z$252=0</formula>
    </cfRule>
  </conditionalFormatting>
  <conditionalFormatting sqref="A253:L253 O253:X253">
    <cfRule type="expression" dxfId="133" priority="137">
      <formula>$Z$253=0</formula>
    </cfRule>
  </conditionalFormatting>
  <conditionalFormatting sqref="A254:X254">
    <cfRule type="expression" dxfId="132" priority="136">
      <formula>$Z$254=0</formula>
    </cfRule>
  </conditionalFormatting>
  <conditionalFormatting sqref="A255:X255">
    <cfRule type="expression" dxfId="131" priority="135">
      <formula>$Z$255=0</formula>
    </cfRule>
  </conditionalFormatting>
  <conditionalFormatting sqref="A259:X259">
    <cfRule type="expression" dxfId="130" priority="134">
      <formula>$Z$259=0</formula>
    </cfRule>
  </conditionalFormatting>
  <conditionalFormatting sqref="A260:X260">
    <cfRule type="expression" dxfId="129" priority="133">
      <formula>$Z$260=0</formula>
    </cfRule>
  </conditionalFormatting>
  <conditionalFormatting sqref="A261:X261">
    <cfRule type="expression" dxfId="128" priority="132">
      <formula>$Z$261=0</formula>
    </cfRule>
  </conditionalFormatting>
  <conditionalFormatting sqref="A262:X262">
    <cfRule type="expression" dxfId="127" priority="131">
      <formula>$Z$262=0</formula>
    </cfRule>
  </conditionalFormatting>
  <conditionalFormatting sqref="A263:X263">
    <cfRule type="expression" dxfId="126" priority="130">
      <formula>$Z$263=0</formula>
    </cfRule>
  </conditionalFormatting>
  <conditionalFormatting sqref="A264:X264">
    <cfRule type="expression" dxfId="125" priority="129">
      <formula>$Z$264=0</formula>
    </cfRule>
  </conditionalFormatting>
  <conditionalFormatting sqref="A265:X265">
    <cfRule type="expression" dxfId="124" priority="128">
      <formula>$Z$265=0</formula>
    </cfRule>
  </conditionalFormatting>
  <conditionalFormatting sqref="A266:X266">
    <cfRule type="expression" dxfId="123" priority="127">
      <formula>$Z$266=0</formula>
    </cfRule>
  </conditionalFormatting>
  <conditionalFormatting sqref="A267:X267">
    <cfRule type="expression" dxfId="122" priority="126">
      <formula>$Z$267=0</formula>
    </cfRule>
  </conditionalFormatting>
  <conditionalFormatting sqref="A268:L268 U268">
    <cfRule type="expression" dxfId="121" priority="125">
      <formula>$Z$268=0</formula>
    </cfRule>
  </conditionalFormatting>
  <conditionalFormatting sqref="A269:X269">
    <cfRule type="expression" dxfId="120" priority="124">
      <formula>$Z$269=0</formula>
    </cfRule>
  </conditionalFormatting>
  <conditionalFormatting sqref="A270:X270">
    <cfRule type="expression" dxfId="119" priority="123">
      <formula>$Z$270=0</formula>
    </cfRule>
  </conditionalFormatting>
  <conditionalFormatting sqref="A271:L271 N271:X271">
    <cfRule type="expression" dxfId="118" priority="122">
      <formula>$Z$271=0</formula>
    </cfRule>
  </conditionalFormatting>
  <conditionalFormatting sqref="A272:X272">
    <cfRule type="expression" dxfId="117" priority="121">
      <formula>$Z$272=0</formula>
    </cfRule>
  </conditionalFormatting>
  <conditionalFormatting sqref="A275:X275">
    <cfRule type="expression" dxfId="116" priority="120">
      <formula>$Z$275=0</formula>
    </cfRule>
  </conditionalFormatting>
  <conditionalFormatting sqref="A276:L276 N276:P276 R276:T276 V276:X276 Q268">
    <cfRule type="expression" dxfId="115" priority="119">
      <formula>$Z$276=0</formula>
    </cfRule>
  </conditionalFormatting>
  <conditionalFormatting sqref="A277:L277 N277:X277">
    <cfRule type="expression" dxfId="114" priority="118">
      <formula>$Z$277=0</formula>
    </cfRule>
  </conditionalFormatting>
  <conditionalFormatting sqref="A278:L278 N278:X278">
    <cfRule type="expression" dxfId="113" priority="117">
      <formula>$Z$278=0</formula>
    </cfRule>
  </conditionalFormatting>
  <conditionalFormatting sqref="A279:L279 N279:X279">
    <cfRule type="expression" dxfId="112" priority="116">
      <formula>$Z$279=0</formula>
    </cfRule>
  </conditionalFormatting>
  <conditionalFormatting sqref="A283:X283 B284:B299">
    <cfRule type="expression" dxfId="111" priority="115">
      <formula>$Z$283=0</formula>
    </cfRule>
  </conditionalFormatting>
  <conditionalFormatting sqref="A284 C284:X284">
    <cfRule type="expression" dxfId="110" priority="114">
      <formula>$Z$284=0</formula>
    </cfRule>
  </conditionalFormatting>
  <conditionalFormatting sqref="A285 C285:X285">
    <cfRule type="expression" dxfId="109" priority="113">
      <formula>$Z$285=0</formula>
    </cfRule>
  </conditionalFormatting>
  <conditionalFormatting sqref="A286 C286:X286">
    <cfRule type="expression" dxfId="108" priority="112">
      <formula>$Z$286=0</formula>
    </cfRule>
  </conditionalFormatting>
  <conditionalFormatting sqref="A287 C287:X287">
    <cfRule type="expression" dxfId="107" priority="111">
      <formula>$Z$287=0</formula>
    </cfRule>
  </conditionalFormatting>
  <conditionalFormatting sqref="A288 C288:L288 O288:X288">
    <cfRule type="expression" dxfId="106" priority="110">
      <formula>$Z$288=0</formula>
    </cfRule>
  </conditionalFormatting>
  <conditionalFormatting sqref="A289 C289:X289">
    <cfRule type="expression" dxfId="105" priority="109">
      <formula>$Z$289=0</formula>
    </cfRule>
  </conditionalFormatting>
  <conditionalFormatting sqref="A290 C290:X290">
    <cfRule type="expression" dxfId="104" priority="108">
      <formula>$Z$290=0</formula>
    </cfRule>
  </conditionalFormatting>
  <conditionalFormatting sqref="A291 C291:X291">
    <cfRule type="expression" dxfId="103" priority="107">
      <formula>$Z$291=0</formula>
    </cfRule>
  </conditionalFormatting>
  <conditionalFormatting sqref="A292 C292:X292">
    <cfRule type="expression" dxfId="102" priority="106">
      <formula>$Z$292=0</formula>
    </cfRule>
  </conditionalFormatting>
  <conditionalFormatting sqref="A293 C293:X293">
    <cfRule type="expression" dxfId="101" priority="105">
      <formula>$Z$293=0</formula>
    </cfRule>
  </conditionalFormatting>
  <conditionalFormatting sqref="A294 C294:X294">
    <cfRule type="expression" dxfId="100" priority="104">
      <formula>$Z$294=0</formula>
    </cfRule>
  </conditionalFormatting>
  <conditionalFormatting sqref="A295 C295:X295">
    <cfRule type="expression" dxfId="99" priority="103">
      <formula>$Z$295=0</formula>
    </cfRule>
  </conditionalFormatting>
  <conditionalFormatting sqref="A296 C296:X296">
    <cfRule type="expression" dxfId="98" priority="102">
      <formula>$Z$296=0</formula>
    </cfRule>
  </conditionalFormatting>
  <conditionalFormatting sqref="A297 C297:X297">
    <cfRule type="expression" dxfId="97" priority="101">
      <formula>$Z$297=0</formula>
    </cfRule>
  </conditionalFormatting>
  <conditionalFormatting sqref="A298 C298:X298">
    <cfRule type="expression" dxfId="96" priority="100">
      <formula>$Z$298=0</formula>
    </cfRule>
  </conditionalFormatting>
  <conditionalFormatting sqref="A299 C299:X299">
    <cfRule type="expression" dxfId="95" priority="99">
      <formula>$Z$299=0</formula>
    </cfRule>
  </conditionalFormatting>
  <conditionalFormatting sqref="A303 C303:X303">
    <cfRule type="expression" dxfId="94" priority="98">
      <formula>$Z$303=0</formula>
    </cfRule>
  </conditionalFormatting>
  <conditionalFormatting sqref="A304 C304:X304">
    <cfRule type="expression" dxfId="93" priority="97">
      <formula>$Z$304=0</formula>
    </cfRule>
  </conditionalFormatting>
  <conditionalFormatting sqref="A305 C305:X305">
    <cfRule type="expression" dxfId="92" priority="96">
      <formula>$Z$305=0</formula>
    </cfRule>
  </conditionalFormatting>
  <conditionalFormatting sqref="A306 C306:X306">
    <cfRule type="expression" dxfId="91" priority="95">
      <formula>$Z$306=0</formula>
    </cfRule>
  </conditionalFormatting>
  <conditionalFormatting sqref="A307 C307:X307">
    <cfRule type="expression" dxfId="90" priority="94">
      <formula>$Z$307=0</formula>
    </cfRule>
  </conditionalFormatting>
  <conditionalFormatting sqref="A308 C308:X308">
    <cfRule type="expression" dxfId="89" priority="93">
      <formula>$Z$308=0</formula>
    </cfRule>
  </conditionalFormatting>
  <conditionalFormatting sqref="A309 C309:X309">
    <cfRule type="expression" dxfId="88" priority="92">
      <formula>$Z$309=0</formula>
    </cfRule>
  </conditionalFormatting>
  <conditionalFormatting sqref="A310 C310:X310">
    <cfRule type="expression" dxfId="87" priority="91">
      <formula>$Z$310=0</formula>
    </cfRule>
  </conditionalFormatting>
  <conditionalFormatting sqref="A311:L311 N311:P311 R311:T311 V311:X311">
    <cfRule type="expression" dxfId="86" priority="90">
      <formula>$Z$311=0</formula>
    </cfRule>
  </conditionalFormatting>
  <conditionalFormatting sqref="A312:L312 N312:X312">
    <cfRule type="expression" dxfId="85" priority="89">
      <formula>$Z$312=0</formula>
    </cfRule>
  </conditionalFormatting>
  <conditionalFormatting sqref="A316:C316 M316:X316">
    <cfRule type="expression" dxfId="84" priority="87">
      <formula>$Z$316=0</formula>
    </cfRule>
  </conditionalFormatting>
  <conditionalFormatting sqref="A317:C317 M317:X317">
    <cfRule type="expression" dxfId="83" priority="86">
      <formula>$Z$317=0</formula>
    </cfRule>
  </conditionalFormatting>
  <conditionalFormatting sqref="A318:C318 M318:X318">
    <cfRule type="expression" dxfId="82" priority="85">
      <formula>$Z$318=0</formula>
    </cfRule>
  </conditionalFormatting>
  <conditionalFormatting sqref="A319:C319 M319:X319">
    <cfRule type="expression" dxfId="81" priority="84">
      <formula>$Z$319=0</formula>
    </cfRule>
  </conditionalFormatting>
  <conditionalFormatting sqref="A320:C320 M320:X320">
    <cfRule type="expression" dxfId="80" priority="83">
      <formula>$Z$320=0</formula>
    </cfRule>
  </conditionalFormatting>
  <conditionalFormatting sqref="A321:X321">
    <cfRule type="expression" dxfId="79" priority="82">
      <formula>$Z$321=0</formula>
    </cfRule>
  </conditionalFormatting>
  <conditionalFormatting sqref="A322:T322 V322:X322">
    <cfRule type="expression" dxfId="78" priority="81">
      <formula>$Z$322=0</formula>
    </cfRule>
  </conditionalFormatting>
  <conditionalFormatting sqref="A323:T323 V323:X323">
    <cfRule type="expression" dxfId="77" priority="80">
      <formula>$Z$323=0</formula>
    </cfRule>
  </conditionalFormatting>
  <conditionalFormatting sqref="W324:X324 A324:U324">
    <cfRule type="expression" dxfId="76" priority="78">
      <formula>$Z$324=0</formula>
    </cfRule>
  </conditionalFormatting>
  <conditionalFormatting sqref="W325:X325 A325:U325">
    <cfRule type="expression" dxfId="75" priority="77">
      <formula>$Z$325=0</formula>
    </cfRule>
  </conditionalFormatting>
  <conditionalFormatting sqref="W326:X326 A326:U326">
    <cfRule type="expression" dxfId="74" priority="76">
      <formula>$Z$326=0</formula>
    </cfRule>
  </conditionalFormatting>
  <conditionalFormatting sqref="A329:X329">
    <cfRule type="expression" dxfId="73" priority="75">
      <formula>$Z$329=0</formula>
    </cfRule>
  </conditionalFormatting>
  <conditionalFormatting sqref="A330:X330">
    <cfRule type="expression" dxfId="72" priority="74">
      <formula>$Z$330=0</formula>
    </cfRule>
  </conditionalFormatting>
  <conditionalFormatting sqref="A331:X331">
    <cfRule type="expression" dxfId="71" priority="73">
      <formula>$Z$331=0</formula>
    </cfRule>
  </conditionalFormatting>
  <conditionalFormatting sqref="A335:X335">
    <cfRule type="expression" dxfId="70" priority="72">
      <formula>$Z$335=0</formula>
    </cfRule>
  </conditionalFormatting>
  <conditionalFormatting sqref="A336:T336 V336:X336">
    <cfRule type="expression" dxfId="69" priority="71">
      <formula>$Z$336=0</formula>
    </cfRule>
  </conditionalFormatting>
  <conditionalFormatting sqref="A337:T337 V337:X337">
    <cfRule type="expression" dxfId="68" priority="70">
      <formula>$Z$337=0</formula>
    </cfRule>
  </conditionalFormatting>
  <conditionalFormatting sqref="A338:L338 N338:X338">
    <cfRule type="expression" dxfId="67" priority="69">
      <formula>$Z$338=0</formula>
    </cfRule>
  </conditionalFormatting>
  <conditionalFormatting sqref="A339:X339">
    <cfRule type="expression" dxfId="66" priority="68">
      <formula>$Z$339=0</formula>
    </cfRule>
  </conditionalFormatting>
  <conditionalFormatting sqref="A340:X340">
    <cfRule type="expression" dxfId="65" priority="67">
      <formula>$Z$340=0</formula>
    </cfRule>
  </conditionalFormatting>
  <conditionalFormatting sqref="A341:X341">
    <cfRule type="expression" dxfId="64" priority="66">
      <formula>$Z$341=0</formula>
    </cfRule>
  </conditionalFormatting>
  <conditionalFormatting sqref="A342:X342">
    <cfRule type="expression" dxfId="63" priority="65">
      <formula>$Z$342=0</formula>
    </cfRule>
  </conditionalFormatting>
  <conditionalFormatting sqref="A343:L343 N343:P343 R343:T343 V343:X343">
    <cfRule type="expression" dxfId="62" priority="64">
      <formula>$Z$343=0</formula>
    </cfRule>
  </conditionalFormatting>
  <conditionalFormatting sqref="A344:L344 N344:P344 R344:T344 V344:X344">
    <cfRule type="expression" dxfId="61" priority="63">
      <formula>$Z$344=0</formula>
    </cfRule>
  </conditionalFormatting>
  <conditionalFormatting sqref="A345:L345 N345:X345">
    <cfRule type="expression" dxfId="60" priority="62">
      <formula>$Z$345=0</formula>
    </cfRule>
  </conditionalFormatting>
  <conditionalFormatting sqref="A346:L346 N346:X346">
    <cfRule type="expression" dxfId="59" priority="61">
      <formula>$Z$346=0</formula>
    </cfRule>
  </conditionalFormatting>
  <conditionalFormatting sqref="A347:L347 N347:X347">
    <cfRule type="expression" dxfId="58" priority="60">
      <formula>$Z$347=0</formula>
    </cfRule>
  </conditionalFormatting>
  <conditionalFormatting sqref="A348:L348 N348:X348">
    <cfRule type="expression" dxfId="57" priority="59">
      <formula>$Z$348=0</formula>
    </cfRule>
  </conditionalFormatting>
  <conditionalFormatting sqref="A354:M354 O354:S354 U354:V354">
    <cfRule type="expression" dxfId="56" priority="58">
      <formula>$Z$354=0</formula>
    </cfRule>
  </conditionalFormatting>
  <conditionalFormatting sqref="A355:J355 L355:P355 R355:U355 W355">
    <cfRule type="expression" dxfId="55" priority="57">
      <formula>$Z$355=0</formula>
    </cfRule>
  </conditionalFormatting>
  <conditionalFormatting sqref="A356:M356 O356:S356 V356">
    <cfRule type="expression" dxfId="54" priority="56">
      <formula>$Z$356=0</formula>
    </cfRule>
  </conditionalFormatting>
  <conditionalFormatting sqref="A357:J357 L357:M357 O357:P357 R357:S357">
    <cfRule type="expression" dxfId="53" priority="55">
      <formula>$Z$357=0</formula>
    </cfRule>
  </conditionalFormatting>
  <conditionalFormatting sqref="A358:J358 L358:P358 R358:T358 W358">
    <cfRule type="expression" dxfId="52" priority="54">
      <formula>$Z$358=0</formula>
    </cfRule>
  </conditionalFormatting>
  <conditionalFormatting sqref="A359:M359 O359:S359 V359">
    <cfRule type="expression" dxfId="51" priority="53">
      <formula>$Z$359=0</formula>
    </cfRule>
  </conditionalFormatting>
  <conditionalFormatting sqref="A360:J360 L360:P360 R360:T360 V360:W360">
    <cfRule type="expression" dxfId="50" priority="52">
      <formula>$Z$360=0</formula>
    </cfRule>
  </conditionalFormatting>
  <conditionalFormatting sqref="A361:J361 L361:M361 O361:T361 V361:W361">
    <cfRule type="expression" dxfId="49" priority="51">
      <formula>$Z$361=0</formula>
    </cfRule>
  </conditionalFormatting>
  <conditionalFormatting sqref="A362:J362 L362:M362 O362:P362 R362:S362 W362">
    <cfRule type="expression" dxfId="48" priority="50">
      <formula>$Z$362=0</formula>
    </cfRule>
  </conditionalFormatting>
  <conditionalFormatting sqref="A363:J363 L363:M363 O363:P363 R363:S363">
    <cfRule type="expression" dxfId="47" priority="49">
      <formula>$Z$363=0</formula>
    </cfRule>
  </conditionalFormatting>
  <conditionalFormatting sqref="A364:J364 L364:M364 O364:P364 R364:S364">
    <cfRule type="expression" dxfId="46" priority="48">
      <formula>$Z$364=0</formula>
    </cfRule>
  </conditionalFormatting>
  <conditionalFormatting sqref="A365:J365 L365:M365 O365:P365 R365:S365">
    <cfRule type="expression" dxfId="45" priority="47">
      <formula>$Z$365=0</formula>
    </cfRule>
  </conditionalFormatting>
  <conditionalFormatting sqref="A366:J366 L366:M366 O366:P366 R366:S366">
    <cfRule type="expression" dxfId="44" priority="46">
      <formula>$Z$366=0</formula>
    </cfRule>
  </conditionalFormatting>
  <conditionalFormatting sqref="A367:J367 L367:M367 O367:T367 W367">
    <cfRule type="expression" dxfId="43" priority="45">
      <formula>$Z$367=0</formula>
    </cfRule>
  </conditionalFormatting>
  <conditionalFormatting sqref="A368:J368 L368:M368 O368:T368 W368">
    <cfRule type="expression" dxfId="42" priority="44">
      <formula>$Z$368=0</formula>
    </cfRule>
  </conditionalFormatting>
  <conditionalFormatting sqref="A369:M369 O369:S369 V369">
    <cfRule type="expression" dxfId="41" priority="43">
      <formula>$Z$369=0</formula>
    </cfRule>
  </conditionalFormatting>
  <conditionalFormatting sqref="A370:M370 O370:S370 V370">
    <cfRule type="expression" dxfId="40" priority="42">
      <formula>$Z$370=0</formula>
    </cfRule>
  </conditionalFormatting>
  <conditionalFormatting sqref="A371:M371 O371:S371 V371">
    <cfRule type="expression" dxfId="39" priority="41">
      <formula>$Z$371=0</formula>
    </cfRule>
  </conditionalFormatting>
  <conditionalFormatting sqref="A372:M372 O372:S372 V372">
    <cfRule type="expression" dxfId="38" priority="40">
      <formula>$Z$372=0</formula>
    </cfRule>
  </conditionalFormatting>
  <conditionalFormatting sqref="A373:C373 K373:X373">
    <cfRule type="expression" dxfId="37" priority="39">
      <formula>$Z$373=0</formula>
    </cfRule>
  </conditionalFormatting>
  <conditionalFormatting sqref="A385:C385">
    <cfRule type="expression" dxfId="36" priority="38">
      <formula>$Z$377=0</formula>
    </cfRule>
  </conditionalFormatting>
  <conditionalFormatting sqref="A386:C386">
    <cfRule type="expression" dxfId="35" priority="37">
      <formula>$Z$378=0</formula>
    </cfRule>
  </conditionalFormatting>
  <conditionalFormatting sqref="A387:C387">
    <cfRule type="expression" dxfId="34" priority="36">
      <formula>$Z$379=0</formula>
    </cfRule>
  </conditionalFormatting>
  <conditionalFormatting sqref="A388:C388">
    <cfRule type="expression" dxfId="33" priority="35">
      <formula>$Z$380=0</formula>
    </cfRule>
  </conditionalFormatting>
  <conditionalFormatting sqref="A389:C389">
    <cfRule type="expression" dxfId="32" priority="34">
      <formula>$Z$381=0</formula>
    </cfRule>
  </conditionalFormatting>
  <conditionalFormatting sqref="A390:C390">
    <cfRule type="expression" dxfId="31" priority="33">
      <formula>$Z$382=0</formula>
    </cfRule>
  </conditionalFormatting>
  <conditionalFormatting sqref="A391:C391">
    <cfRule type="expression" dxfId="30" priority="32">
      <formula>$Z$383=0</formula>
    </cfRule>
  </conditionalFormatting>
  <conditionalFormatting sqref="A392:C392">
    <cfRule type="expression" dxfId="29" priority="31">
      <formula>$Z$384=0</formula>
    </cfRule>
  </conditionalFormatting>
  <conditionalFormatting sqref="A393:C393">
    <cfRule type="expression" dxfId="28" priority="30">
      <formula>$Z$385=0</formula>
    </cfRule>
  </conditionalFormatting>
  <conditionalFormatting sqref="S238">
    <cfRule type="expression" dxfId="27" priority="29">
      <formula>$Z$238=0</formula>
    </cfRule>
  </conditionalFormatting>
  <conditionalFormatting sqref="N268">
    <cfRule type="expression" dxfId="26" priority="28">
      <formula>$Z$276=0</formula>
    </cfRule>
  </conditionalFormatting>
  <conditionalFormatting sqref="M123">
    <cfRule type="expression" dxfId="25" priority="27">
      <formula>$Z$124=0</formula>
    </cfRule>
  </conditionalFormatting>
  <conditionalFormatting sqref="Q123">
    <cfRule type="expression" dxfId="24" priority="26">
      <formula>$Z$125=0</formula>
    </cfRule>
  </conditionalFormatting>
  <conditionalFormatting sqref="M288:N288">
    <cfRule type="expression" dxfId="23" priority="24">
      <formula>$Z$288=0</formula>
    </cfRule>
  </conditionalFormatting>
  <conditionalFormatting sqref="Q167:X167">
    <cfRule type="expression" dxfId="22" priority="23">
      <formula>$Z$164=0</formula>
    </cfRule>
  </conditionalFormatting>
  <conditionalFormatting sqref="Q104:R104">
    <cfRule type="expression" dxfId="21" priority="22">
      <formula>$Z$104=0</formula>
    </cfRule>
  </conditionalFormatting>
  <conditionalFormatting sqref="S104:T104">
    <cfRule type="expression" dxfId="20" priority="21">
      <formula>$Z$104=0</formula>
    </cfRule>
  </conditionalFormatting>
  <conditionalFormatting sqref="S105:T105">
    <cfRule type="expression" dxfId="19" priority="20">
      <formula>$Z$104=0</formula>
    </cfRule>
  </conditionalFormatting>
  <conditionalFormatting sqref="U104:V104">
    <cfRule type="expression" dxfId="18" priority="19">
      <formula>$Z$104=0</formula>
    </cfRule>
  </conditionalFormatting>
  <conditionalFormatting sqref="Q109:T109 Q112:T113">
    <cfRule type="expression" dxfId="17" priority="18">
      <formula>$Z$104=0</formula>
    </cfRule>
  </conditionalFormatting>
  <conditionalFormatting sqref="S102:T102">
    <cfRule type="expression" dxfId="16" priority="17">
      <formula>$Z$104=0</formula>
    </cfRule>
  </conditionalFormatting>
  <conditionalFormatting sqref="Q118:X121">
    <cfRule type="expression" dxfId="15" priority="16">
      <formula>$Z$163=0</formula>
    </cfRule>
  </conditionalFormatting>
  <conditionalFormatting sqref="Q117:X117">
    <cfRule type="expression" dxfId="14" priority="15">
      <formula>$Z$163=0</formula>
    </cfRule>
  </conditionalFormatting>
  <conditionalFormatting sqref="Q116:X116">
    <cfRule type="expression" dxfId="13" priority="14">
      <formula>$Z$163=0</formula>
    </cfRule>
  </conditionalFormatting>
  <conditionalFormatting sqref="Q175:X175">
    <cfRule type="expression" dxfId="12" priority="13">
      <formula>$Z$174=0</formula>
    </cfRule>
  </conditionalFormatting>
  <conditionalFormatting sqref="Q176:X176">
    <cfRule type="expression" dxfId="11" priority="12">
      <formula>$Z$174=0</formula>
    </cfRule>
  </conditionalFormatting>
  <conditionalFormatting sqref="M195:X195">
    <cfRule type="expression" dxfId="10" priority="11">
      <formula>$Z$195=0</formula>
    </cfRule>
  </conditionalFormatting>
  <conditionalFormatting sqref="M196:N196">
    <cfRule type="expression" dxfId="9" priority="10">
      <formula>$Z$196=0</formula>
    </cfRule>
  </conditionalFormatting>
  <conditionalFormatting sqref="M197:N197">
    <cfRule type="expression" dxfId="8" priority="9">
      <formula>$Z$197=0</formula>
    </cfRule>
  </conditionalFormatting>
  <conditionalFormatting sqref="M247:P247">
    <cfRule type="expression" dxfId="7" priority="8">
      <formula>$Z$247=0</formula>
    </cfRule>
  </conditionalFormatting>
  <conditionalFormatting sqref="M248:N248">
    <cfRule type="expression" dxfId="6" priority="7">
      <formula>$Z$248=0</formula>
    </cfRule>
  </conditionalFormatting>
  <conditionalFormatting sqref="M249:N249">
    <cfRule type="expression" dxfId="5" priority="6">
      <formula>$Z$249=0</formula>
    </cfRule>
  </conditionalFormatting>
  <conditionalFormatting sqref="M250:P250">
    <cfRule type="expression" dxfId="4" priority="5">
      <formula>$Z$250=0</formula>
    </cfRule>
  </conditionalFormatting>
  <conditionalFormatting sqref="M251:P251">
    <cfRule type="expression" dxfId="3" priority="4">
      <formula>$Z$247=0</formula>
    </cfRule>
  </conditionalFormatting>
  <conditionalFormatting sqref="M252:N252">
    <cfRule type="expression" dxfId="2" priority="3">
      <formula>$Z$252=0</formula>
    </cfRule>
  </conditionalFormatting>
  <conditionalFormatting sqref="M253:N253">
    <cfRule type="expression" dxfId="1" priority="2">
      <formula>$Z$253=0</formula>
    </cfRule>
  </conditionalFormatting>
  <conditionalFormatting sqref="M112:N112">
    <cfRule type="expression" dxfId="0" priority="1">
      <formula>$Z$113=0</formula>
    </cfRule>
  </conditionalFormatting>
  <dataValidations count="61">
    <dataValidation allowBlank="1" showInputMessage="1" showErrorMessage="1" sqref="N18:N21"/>
    <dataValidation type="list" allowBlank="1" showInputMessage="1" showErrorMessage="1" sqref="M129:P129">
      <formula1>$AL$126:$AL$129</formula1>
    </dataValidation>
    <dataValidation type="list" allowBlank="1" showInputMessage="1" showErrorMessage="1" sqref="M130:P130">
      <formula1>$AL$130:$AL$133</formula1>
    </dataValidation>
    <dataValidation type="list" allowBlank="1" showInputMessage="1" showErrorMessage="1" sqref="M131:P131">
      <formula1>$AL$134:$AL$137</formula1>
    </dataValidation>
    <dataValidation type="list" allowBlank="1" showInputMessage="1" showErrorMessage="1" sqref="M132:P132">
      <formula1>$AL$138:$AL$141</formula1>
    </dataValidation>
    <dataValidation type="list" allowBlank="1" showInputMessage="1" showErrorMessage="1" sqref="M133:P133">
      <formula1>$AL$142:$AL$145</formula1>
    </dataValidation>
    <dataValidation type="list" allowBlank="1" showInputMessage="1" showErrorMessage="1" sqref="M134:P134">
      <formula1>$AL$146:$AL$149</formula1>
    </dataValidation>
    <dataValidation type="list" allowBlank="1" showInputMessage="1" showErrorMessage="1" sqref="M135:P135">
      <formula1>$AL$150:$AL$153</formula1>
    </dataValidation>
    <dataValidation type="list" allowBlank="1" showInputMessage="1" showErrorMessage="1" sqref="M260:P260">
      <formula1>$AL$259:$AL$263</formula1>
    </dataValidation>
    <dataValidation type="list" allowBlank="1" showInputMessage="1" showErrorMessage="1" sqref="M261:P261">
      <formula1>$AL$264:$AL$268</formula1>
    </dataValidation>
    <dataValidation type="list" allowBlank="1" showInputMessage="1" showErrorMessage="1" sqref="M264:P264">
      <formula1>$AL$269:$AL$272</formula1>
    </dataValidation>
    <dataValidation type="list" allowBlank="1" showInputMessage="1" showErrorMessage="1" sqref="M265:P265">
      <formula1>$AL$275:$AL$279</formula1>
    </dataValidation>
    <dataValidation type="list" allowBlank="1" showInputMessage="1" showErrorMessage="1" sqref="M267:P267">
      <formula1>$AL$284:$AL$287</formula1>
    </dataValidation>
    <dataValidation type="list" allowBlank="1" showInputMessage="1" showErrorMessage="1" sqref="M266:P266">
      <formula1>$AL$280:$AL$283</formula1>
    </dataValidation>
    <dataValidation type="list" allowBlank="1" showInputMessage="1" showErrorMessage="1" sqref="M275:P275">
      <formula1>$AL$292:$AL$295</formula1>
    </dataValidation>
    <dataValidation type="list" allowBlank="1" showInputMessage="1" showErrorMessage="1" sqref="M303:P303">
      <formula1>$AL$303:$AL$306</formula1>
    </dataValidation>
    <dataValidation type="list" allowBlank="1" showInputMessage="1" showErrorMessage="1" sqref="M304:P304">
      <formula1>$AL$307:$AL$310</formula1>
    </dataValidation>
    <dataValidation type="list" allowBlank="1" showInputMessage="1" showErrorMessage="1" sqref="M305:P305">
      <formula1>$AL$311:$AL$314</formula1>
    </dataValidation>
    <dataValidation type="list" allowBlank="1" showInputMessage="1" showErrorMessage="1" sqref="M306:P306">
      <formula1>$AL$315:$AL$318</formula1>
    </dataValidation>
    <dataValidation type="list" allowBlank="1" showInputMessage="1" showErrorMessage="1" sqref="M307:P307">
      <formula1>$AL$319:$AL$322</formula1>
    </dataValidation>
    <dataValidation type="list" allowBlank="1" showInputMessage="1" showErrorMessage="1" sqref="M308:P308">
      <formula1>$AL$323:$AL$330</formula1>
    </dataValidation>
    <dataValidation type="list" allowBlank="1" showInputMessage="1" showErrorMessage="1" sqref="M309:P309">
      <formula1>$AL$331:$AL$334</formula1>
    </dataValidation>
    <dataValidation type="list" allowBlank="1" showInputMessage="1" showErrorMessage="1" sqref="M310:P310">
      <formula1>$AL$335:$AL$338</formula1>
    </dataValidation>
    <dataValidation type="list" allowBlank="1" showInputMessage="1" showErrorMessage="1" sqref="L33:M33">
      <formula1>$AL$24:$AL$42</formula1>
    </dataValidation>
    <dataValidation type="list" allowBlank="1" showInputMessage="1" showErrorMessage="1" sqref="K18:M20">
      <formula1>$AL$4:$AL$7</formula1>
    </dataValidation>
    <dataValidation type="list" allowBlank="1" showInputMessage="1" showErrorMessage="1" sqref="K21:M21">
      <formula1>$AL$8:$AL$12</formula1>
    </dataValidation>
    <dataValidation type="list" allowBlank="1" showInputMessage="1" showErrorMessage="1" sqref="Q21:S21">
      <formula1>$AL$14:$AL$15</formula1>
    </dataValidation>
    <dataValidation type="list" allowBlank="1" showInputMessage="1" showErrorMessage="1" sqref="J44:L44">
      <formula1>$AL$17:$AL$19</formula1>
    </dataValidation>
    <dataValidation type="list" allowBlank="1" showInputMessage="1" showErrorMessage="1" sqref="U29 X31 U91:U92 W356:W357 V362:V368 M268 W369:W372 X355:X372 W354:X354 W208 W359 W363:W366 M115:M121 P268 R238 U145:U146 R153 R158 V357:V358 M171 M173:M176 R169:R170 U172 U183:U184 R187 R189 M191 M193 R197 R201 M206 U207 X385:X393 M232 P232 S232 V232 M238 V246 M271 M276:M279 Q276 U276 M311:M312 Q311 U311 U322:U323 U336:U337 M338 M343:M348 Q343:Q344 U343:U344 K355 K357:K358 K360:K368 N354 N356:N357 N359 N361:N372 Q355 Q357:Q358 Q360 Q362:Q366 T354 T356:T357 T359:U359 T362:T366 T369:T372 U356:U358 U360:U372 V355 M163:M164 M167:M168">
      <formula1>$AL$20:$AL$22</formula1>
    </dataValidation>
    <dataValidation type="list" allowBlank="1" showInputMessage="1" showErrorMessage="1" sqref="S268:T268">
      <formula1>$AL$288:$AL$290</formula1>
    </dataValidation>
    <dataValidation type="list" allowBlank="1" showInputMessage="1" showErrorMessage="1" sqref="M190:N190">
      <formula1>$AL$190:$AL$193</formula1>
    </dataValidation>
    <dataValidation type="list" allowBlank="1" showInputMessage="1" showErrorMessage="1" sqref="M192:N192">
      <formula1>$AL$194:$AL$197</formula1>
    </dataValidation>
    <dataValidation type="list" allowBlank="1" showInputMessage="1" showErrorMessage="1" sqref="M199:N199">
      <formula1>$AL$202:$AL$205</formula1>
    </dataValidation>
    <dataValidation type="list" allowBlank="1" showInputMessage="1" showErrorMessage="1" sqref="M205:N205">
      <formula1>$AL$206:$AL$209</formula1>
    </dataValidation>
    <dataValidation type="list" allowBlank="1" showInputMessage="1" showErrorMessage="1" sqref="M316:P316">
      <formula1>$AL$344:$AL$347</formula1>
    </dataValidation>
    <dataValidation type="list" allowBlank="1" showInputMessage="1" showErrorMessage="1" sqref="M317:P317">
      <formula1>$AL$348:$AL$351</formula1>
    </dataValidation>
    <dataValidation type="list" allowBlank="1" showInputMessage="1" showErrorMessage="1" sqref="M318:P318">
      <formula1>$AL$352:$AL$355</formula1>
    </dataValidation>
    <dataValidation type="list" allowBlank="1" showInputMessage="1" showErrorMessage="1" sqref="M319:P319">
      <formula1>$AL$356:$AL$359</formula1>
    </dataValidation>
    <dataValidation type="list" allowBlank="1" showInputMessage="1" showErrorMessage="1" sqref="M320:P320">
      <formula1>$AL$360:$AL$365</formula1>
    </dataValidation>
    <dataValidation type="list" allowBlank="1" showInputMessage="1" showErrorMessage="1" sqref="M339:P339">
      <formula1>$AL$367:$AL$370</formula1>
    </dataValidation>
    <dataValidation type="list" allowBlank="1" showInputMessage="1" showErrorMessage="1" sqref="M340:P340">
      <formula1>$AL$371:$AL$374</formula1>
    </dataValidation>
    <dataValidation type="list" allowBlank="1" showInputMessage="1" showErrorMessage="1" sqref="M341:P341">
      <formula1>$AL$375:$AL$378</formula1>
    </dataValidation>
    <dataValidation type="list" allowBlank="1" showInputMessage="1" showErrorMessage="1" sqref="M84:P84">
      <formula1>$AL$70:$AL$72</formula1>
    </dataValidation>
    <dataValidation type="list" allowBlank="1" showInputMessage="1" showErrorMessage="1" sqref="M85:P85">
      <formula1>$AL$75:$AL$78</formula1>
    </dataValidation>
    <dataValidation type="list" allowBlank="1" showInputMessage="1" showErrorMessage="1" sqref="M86:P86">
      <formula1>$AL$80:$AL$84</formula1>
    </dataValidation>
    <dataValidation type="list" allowBlank="1" showInputMessage="1" showErrorMessage="1" sqref="M87:P87">
      <formula1>$AL$86:$AL$89</formula1>
    </dataValidation>
    <dataValidation type="list" allowBlank="1" showInputMessage="1" showErrorMessage="1" sqref="M98:P98">
      <formula1>$AL$90:$AL$93</formula1>
    </dataValidation>
    <dataValidation type="list" allowBlank="1" showInputMessage="1" showErrorMessage="1" sqref="F25:J25">
      <formula1>$AL$158:$AL$180</formula1>
    </dataValidation>
    <dataValidation type="list" allowBlank="1" showInputMessage="1" showErrorMessage="1" sqref="S31:T31">
      <formula1>$AL$44:$AL$48</formula1>
    </dataValidation>
    <dataValidation type="list" allowBlank="1" showInputMessage="1" showErrorMessage="1" sqref="M81:P81">
      <formula1>$AL$50:$AL$58</formula1>
    </dataValidation>
    <dataValidation type="list" allowBlank="1" showInputMessage="1" showErrorMessage="1" sqref="M82:P82">
      <formula1>$AL$60:$AL$63</formula1>
    </dataValidation>
    <dataValidation type="list" allowBlank="1" showInputMessage="1" showErrorMessage="1" sqref="M83:P83">
      <formula1>$AL$65:$AL$68</formula1>
    </dataValidation>
    <dataValidation type="list" allowBlank="1" showInputMessage="1" showErrorMessage="1" sqref="M194:N194">
      <formula1>$AL$198:$AL$201</formula1>
    </dataValidation>
    <dataValidation type="list" allowBlank="1" showInputMessage="1" showErrorMessage="1" sqref="M231:P231">
      <formula1>$AL$222:$AL$225</formula1>
    </dataValidation>
    <dataValidation type="list" allowBlank="1" showInputMessage="1" showErrorMessage="1" sqref="M255:O255">
      <formula1>$AL$254:$AL$257</formula1>
    </dataValidation>
    <dataValidation type="list" allowBlank="1" showInputMessage="1" showErrorMessage="1" sqref="M107:P107">
      <formula1>$AL$94:$AL$99</formula1>
    </dataValidation>
    <dataValidation type="list" allowBlank="1" showInputMessage="1" showErrorMessage="1" sqref="Q107:X107">
      <formula1>$AL$100:$AL$105</formula1>
    </dataValidation>
    <dataValidation type="list" allowBlank="1" showInputMessage="1" showErrorMessage="1" sqref="M124">
      <formula1>$AL$120:$AL$122</formula1>
    </dataValidation>
    <dataValidation type="list" allowBlank="1" showInputMessage="1" showErrorMessage="1" sqref="M125">
      <formula1>$AL$123:$AL$125</formula1>
    </dataValidation>
    <dataValidation type="list" allowBlank="1" showInputMessage="1" showErrorMessage="1" sqref="M123:P123">
      <formula1>$AL$115:$AL$119</formula1>
    </dataValidation>
    <dataValidation type="list" allowBlank="1" showInputMessage="1" showErrorMessage="1" sqref="M122:P122">
      <formula1>$AL$107:$AL$113</formula1>
    </dataValidation>
  </dataValidations>
  <printOptions horizontalCentered="1"/>
  <pageMargins left="0.23622047244094491" right="0.23622047244094491" top="0.74803149606299213" bottom="0.74803149606299213" header="0.31496062992125984" footer="0.31496062992125984"/>
  <pageSetup paperSize="9" scale="110" orientation="portrait" horizontalDpi="300" r:id="rId2"/>
  <headerFooter>
    <oddHeader>&amp;L&amp;G</oddHeader>
    <oddFooter>&amp;L        &amp;R&amp;K0AB2B2URSEA - MT - v01.1 - Pág . &amp;P</oddFooter>
  </headerFooter>
  <ignoredErrors>
    <ignoredError sqref="K27" formula="1"/>
    <ignoredError sqref="K30" unlockedFormula="1"/>
  </ignoredErrors>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CLIMA!$B$2:$B$19</xm:f>
          </x14:formula1>
          <xm:sqref>Q33:R33</xm:sqref>
        </x14:dataValidation>
        <x14:dataValidation type="list" allowBlank="1" showInputMessage="1" showErrorMessage="1">
          <x14:formula1>
            <xm:f>CLIMA!$P$2:$P$20</xm:f>
          </x14:formula1>
          <xm:sqref>H32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8"/>
  <sheetViews>
    <sheetView zoomScale="80" zoomScaleNormal="80" workbookViewId="0">
      <selection activeCell="P20" sqref="P20"/>
    </sheetView>
  </sheetViews>
  <sheetFormatPr baseColWidth="10" defaultRowHeight="12.75" x14ac:dyDescent="0.2"/>
  <cols>
    <col min="1" max="1" width="8.5703125" style="40" customWidth="1"/>
    <col min="2" max="2" width="8.85546875" style="40" customWidth="1"/>
    <col min="3" max="14" width="7" style="41" customWidth="1"/>
    <col min="15" max="15" width="11.42578125" style="41"/>
    <col min="16" max="16" width="17.28515625" style="41" customWidth="1"/>
    <col min="17" max="17" width="6.5703125" style="41" customWidth="1"/>
    <col min="18" max="18" width="11.42578125" style="41"/>
    <col min="19" max="19" width="19.28515625" style="41" customWidth="1"/>
    <col min="20" max="32" width="7.28515625" style="41" customWidth="1"/>
    <col min="33" max="33" width="22.5703125" style="41" customWidth="1"/>
    <col min="34" max="217" width="11.42578125" style="41"/>
    <col min="218" max="218" width="5" style="41" customWidth="1"/>
    <col min="219" max="230" width="6.85546875" style="41" customWidth="1"/>
    <col min="231" max="231" width="2.7109375" style="41" customWidth="1"/>
    <col min="232" max="232" width="11.140625" style="41" customWidth="1"/>
    <col min="233" max="246" width="7" style="41" customWidth="1"/>
    <col min="247" max="247" width="16.7109375" style="41" customWidth="1"/>
    <col min="248" max="248" width="7.5703125" style="41" customWidth="1"/>
    <col min="249" max="252" width="7" style="41" customWidth="1"/>
    <col min="253" max="473" width="11.42578125" style="41"/>
    <col min="474" max="474" width="5" style="41" customWidth="1"/>
    <col min="475" max="486" width="6.85546875" style="41" customWidth="1"/>
    <col min="487" max="487" width="2.7109375" style="41" customWidth="1"/>
    <col min="488" max="488" width="11.140625" style="41" customWidth="1"/>
    <col min="489" max="502" width="7" style="41" customWidth="1"/>
    <col min="503" max="503" width="16.7109375" style="41" customWidth="1"/>
    <col min="504" max="504" width="7.5703125" style="41" customWidth="1"/>
    <col min="505" max="508" width="7" style="41" customWidth="1"/>
    <col min="509" max="729" width="11.42578125" style="41"/>
    <col min="730" max="730" width="5" style="41" customWidth="1"/>
    <col min="731" max="742" width="6.85546875" style="41" customWidth="1"/>
    <col min="743" max="743" width="2.7109375" style="41" customWidth="1"/>
    <col min="744" max="744" width="11.140625" style="41" customWidth="1"/>
    <col min="745" max="758" width="7" style="41" customWidth="1"/>
    <col min="759" max="759" width="16.7109375" style="41" customWidth="1"/>
    <col min="760" max="760" width="7.5703125" style="41" customWidth="1"/>
    <col min="761" max="764" width="7" style="41" customWidth="1"/>
    <col min="765" max="985" width="11.42578125" style="41"/>
    <col min="986" max="986" width="5" style="41" customWidth="1"/>
    <col min="987" max="998" width="6.85546875" style="41" customWidth="1"/>
    <col min="999" max="999" width="2.7109375" style="41" customWidth="1"/>
    <col min="1000" max="1000" width="11.140625" style="41" customWidth="1"/>
    <col min="1001" max="1014" width="7" style="41" customWidth="1"/>
    <col min="1015" max="1015" width="16.7109375" style="41" customWidth="1"/>
    <col min="1016" max="1016" width="7.5703125" style="41" customWidth="1"/>
    <col min="1017" max="1020" width="7" style="41" customWidth="1"/>
    <col min="1021" max="1241" width="11.42578125" style="41"/>
    <col min="1242" max="1242" width="5" style="41" customWidth="1"/>
    <col min="1243" max="1254" width="6.85546875" style="41" customWidth="1"/>
    <col min="1255" max="1255" width="2.7109375" style="41" customWidth="1"/>
    <col min="1256" max="1256" width="11.140625" style="41" customWidth="1"/>
    <col min="1257" max="1270" width="7" style="41" customWidth="1"/>
    <col min="1271" max="1271" width="16.7109375" style="41" customWidth="1"/>
    <col min="1272" max="1272" width="7.5703125" style="41" customWidth="1"/>
    <col min="1273" max="1276" width="7" style="41" customWidth="1"/>
    <col min="1277" max="1497" width="11.42578125" style="41"/>
    <col min="1498" max="1498" width="5" style="41" customWidth="1"/>
    <col min="1499" max="1510" width="6.85546875" style="41" customWidth="1"/>
    <col min="1511" max="1511" width="2.7109375" style="41" customWidth="1"/>
    <col min="1512" max="1512" width="11.140625" style="41" customWidth="1"/>
    <col min="1513" max="1526" width="7" style="41" customWidth="1"/>
    <col min="1527" max="1527" width="16.7109375" style="41" customWidth="1"/>
    <col min="1528" max="1528" width="7.5703125" style="41" customWidth="1"/>
    <col min="1529" max="1532" width="7" style="41" customWidth="1"/>
    <col min="1533" max="1753" width="11.42578125" style="41"/>
    <col min="1754" max="1754" width="5" style="41" customWidth="1"/>
    <col min="1755" max="1766" width="6.85546875" style="41" customWidth="1"/>
    <col min="1767" max="1767" width="2.7109375" style="41" customWidth="1"/>
    <col min="1768" max="1768" width="11.140625" style="41" customWidth="1"/>
    <col min="1769" max="1782" width="7" style="41" customWidth="1"/>
    <col min="1783" max="1783" width="16.7109375" style="41" customWidth="1"/>
    <col min="1784" max="1784" width="7.5703125" style="41" customWidth="1"/>
    <col min="1785" max="1788" width="7" style="41" customWidth="1"/>
    <col min="1789" max="2009" width="11.42578125" style="41"/>
    <col min="2010" max="2010" width="5" style="41" customWidth="1"/>
    <col min="2011" max="2022" width="6.85546875" style="41" customWidth="1"/>
    <col min="2023" max="2023" width="2.7109375" style="41" customWidth="1"/>
    <col min="2024" max="2024" width="11.140625" style="41" customWidth="1"/>
    <col min="2025" max="2038" width="7" style="41" customWidth="1"/>
    <col min="2039" max="2039" width="16.7109375" style="41" customWidth="1"/>
    <col min="2040" max="2040" width="7.5703125" style="41" customWidth="1"/>
    <col min="2041" max="2044" width="7" style="41" customWidth="1"/>
    <col min="2045" max="2265" width="11.42578125" style="41"/>
    <col min="2266" max="2266" width="5" style="41" customWidth="1"/>
    <col min="2267" max="2278" width="6.85546875" style="41" customWidth="1"/>
    <col min="2279" max="2279" width="2.7109375" style="41" customWidth="1"/>
    <col min="2280" max="2280" width="11.140625" style="41" customWidth="1"/>
    <col min="2281" max="2294" width="7" style="41" customWidth="1"/>
    <col min="2295" max="2295" width="16.7109375" style="41" customWidth="1"/>
    <col min="2296" max="2296" width="7.5703125" style="41" customWidth="1"/>
    <col min="2297" max="2300" width="7" style="41" customWidth="1"/>
    <col min="2301" max="2521" width="11.42578125" style="41"/>
    <col min="2522" max="2522" width="5" style="41" customWidth="1"/>
    <col min="2523" max="2534" width="6.85546875" style="41" customWidth="1"/>
    <col min="2535" max="2535" width="2.7109375" style="41" customWidth="1"/>
    <col min="2536" max="2536" width="11.140625" style="41" customWidth="1"/>
    <col min="2537" max="2550" width="7" style="41" customWidth="1"/>
    <col min="2551" max="2551" width="16.7109375" style="41" customWidth="1"/>
    <col min="2552" max="2552" width="7.5703125" style="41" customWidth="1"/>
    <col min="2553" max="2556" width="7" style="41" customWidth="1"/>
    <col min="2557" max="2777" width="11.42578125" style="41"/>
    <col min="2778" max="2778" width="5" style="41" customWidth="1"/>
    <col min="2779" max="2790" width="6.85546875" style="41" customWidth="1"/>
    <col min="2791" max="2791" width="2.7109375" style="41" customWidth="1"/>
    <col min="2792" max="2792" width="11.140625" style="41" customWidth="1"/>
    <col min="2793" max="2806" width="7" style="41" customWidth="1"/>
    <col min="2807" max="2807" width="16.7109375" style="41" customWidth="1"/>
    <col min="2808" max="2808" width="7.5703125" style="41" customWidth="1"/>
    <col min="2809" max="2812" width="7" style="41" customWidth="1"/>
    <col min="2813" max="3033" width="11.42578125" style="41"/>
    <col min="3034" max="3034" width="5" style="41" customWidth="1"/>
    <col min="3035" max="3046" width="6.85546875" style="41" customWidth="1"/>
    <col min="3047" max="3047" width="2.7109375" style="41" customWidth="1"/>
    <col min="3048" max="3048" width="11.140625" style="41" customWidth="1"/>
    <col min="3049" max="3062" width="7" style="41" customWidth="1"/>
    <col min="3063" max="3063" width="16.7109375" style="41" customWidth="1"/>
    <col min="3064" max="3064" width="7.5703125" style="41" customWidth="1"/>
    <col min="3065" max="3068" width="7" style="41" customWidth="1"/>
    <col min="3069" max="3289" width="11.42578125" style="41"/>
    <col min="3290" max="3290" width="5" style="41" customWidth="1"/>
    <col min="3291" max="3302" width="6.85546875" style="41" customWidth="1"/>
    <col min="3303" max="3303" width="2.7109375" style="41" customWidth="1"/>
    <col min="3304" max="3304" width="11.140625" style="41" customWidth="1"/>
    <col min="3305" max="3318" width="7" style="41" customWidth="1"/>
    <col min="3319" max="3319" width="16.7109375" style="41" customWidth="1"/>
    <col min="3320" max="3320" width="7.5703125" style="41" customWidth="1"/>
    <col min="3321" max="3324" width="7" style="41" customWidth="1"/>
    <col min="3325" max="3545" width="11.42578125" style="41"/>
    <col min="3546" max="3546" width="5" style="41" customWidth="1"/>
    <col min="3547" max="3558" width="6.85546875" style="41" customWidth="1"/>
    <col min="3559" max="3559" width="2.7109375" style="41" customWidth="1"/>
    <col min="3560" max="3560" width="11.140625" style="41" customWidth="1"/>
    <col min="3561" max="3574" width="7" style="41" customWidth="1"/>
    <col min="3575" max="3575" width="16.7109375" style="41" customWidth="1"/>
    <col min="3576" max="3576" width="7.5703125" style="41" customWidth="1"/>
    <col min="3577" max="3580" width="7" style="41" customWidth="1"/>
    <col min="3581" max="3801" width="11.42578125" style="41"/>
    <col min="3802" max="3802" width="5" style="41" customWidth="1"/>
    <col min="3803" max="3814" width="6.85546875" style="41" customWidth="1"/>
    <col min="3815" max="3815" width="2.7109375" style="41" customWidth="1"/>
    <col min="3816" max="3816" width="11.140625" style="41" customWidth="1"/>
    <col min="3817" max="3830" width="7" style="41" customWidth="1"/>
    <col min="3831" max="3831" width="16.7109375" style="41" customWidth="1"/>
    <col min="3832" max="3832" width="7.5703125" style="41" customWidth="1"/>
    <col min="3833" max="3836" width="7" style="41" customWidth="1"/>
    <col min="3837" max="4057" width="11.42578125" style="41"/>
    <col min="4058" max="4058" width="5" style="41" customWidth="1"/>
    <col min="4059" max="4070" width="6.85546875" style="41" customWidth="1"/>
    <col min="4071" max="4071" width="2.7109375" style="41" customWidth="1"/>
    <col min="4072" max="4072" width="11.140625" style="41" customWidth="1"/>
    <col min="4073" max="4086" width="7" style="41" customWidth="1"/>
    <col min="4087" max="4087" width="16.7109375" style="41" customWidth="1"/>
    <col min="4088" max="4088" width="7.5703125" style="41" customWidth="1"/>
    <col min="4089" max="4092" width="7" style="41" customWidth="1"/>
    <col min="4093" max="4313" width="11.42578125" style="41"/>
    <col min="4314" max="4314" width="5" style="41" customWidth="1"/>
    <col min="4315" max="4326" width="6.85546875" style="41" customWidth="1"/>
    <col min="4327" max="4327" width="2.7109375" style="41" customWidth="1"/>
    <col min="4328" max="4328" width="11.140625" style="41" customWidth="1"/>
    <col min="4329" max="4342" width="7" style="41" customWidth="1"/>
    <col min="4343" max="4343" width="16.7109375" style="41" customWidth="1"/>
    <col min="4344" max="4344" width="7.5703125" style="41" customWidth="1"/>
    <col min="4345" max="4348" width="7" style="41" customWidth="1"/>
    <col min="4349" max="4569" width="11.42578125" style="41"/>
    <col min="4570" max="4570" width="5" style="41" customWidth="1"/>
    <col min="4571" max="4582" width="6.85546875" style="41" customWidth="1"/>
    <col min="4583" max="4583" width="2.7109375" style="41" customWidth="1"/>
    <col min="4584" max="4584" width="11.140625" style="41" customWidth="1"/>
    <col min="4585" max="4598" width="7" style="41" customWidth="1"/>
    <col min="4599" max="4599" width="16.7109375" style="41" customWidth="1"/>
    <col min="4600" max="4600" width="7.5703125" style="41" customWidth="1"/>
    <col min="4601" max="4604" width="7" style="41" customWidth="1"/>
    <col min="4605" max="4825" width="11.42578125" style="41"/>
    <col min="4826" max="4826" width="5" style="41" customWidth="1"/>
    <col min="4827" max="4838" width="6.85546875" style="41" customWidth="1"/>
    <col min="4839" max="4839" width="2.7109375" style="41" customWidth="1"/>
    <col min="4840" max="4840" width="11.140625" style="41" customWidth="1"/>
    <col min="4841" max="4854" width="7" style="41" customWidth="1"/>
    <col min="4855" max="4855" width="16.7109375" style="41" customWidth="1"/>
    <col min="4856" max="4856" width="7.5703125" style="41" customWidth="1"/>
    <col min="4857" max="4860" width="7" style="41" customWidth="1"/>
    <col min="4861" max="5081" width="11.42578125" style="41"/>
    <col min="5082" max="5082" width="5" style="41" customWidth="1"/>
    <col min="5083" max="5094" width="6.85546875" style="41" customWidth="1"/>
    <col min="5095" max="5095" width="2.7109375" style="41" customWidth="1"/>
    <col min="5096" max="5096" width="11.140625" style="41" customWidth="1"/>
    <col min="5097" max="5110" width="7" style="41" customWidth="1"/>
    <col min="5111" max="5111" width="16.7109375" style="41" customWidth="1"/>
    <col min="5112" max="5112" width="7.5703125" style="41" customWidth="1"/>
    <col min="5113" max="5116" width="7" style="41" customWidth="1"/>
    <col min="5117" max="5337" width="11.42578125" style="41"/>
    <col min="5338" max="5338" width="5" style="41" customWidth="1"/>
    <col min="5339" max="5350" width="6.85546875" style="41" customWidth="1"/>
    <col min="5351" max="5351" width="2.7109375" style="41" customWidth="1"/>
    <col min="5352" max="5352" width="11.140625" style="41" customWidth="1"/>
    <col min="5353" max="5366" width="7" style="41" customWidth="1"/>
    <col min="5367" max="5367" width="16.7109375" style="41" customWidth="1"/>
    <col min="5368" max="5368" width="7.5703125" style="41" customWidth="1"/>
    <col min="5369" max="5372" width="7" style="41" customWidth="1"/>
    <col min="5373" max="5593" width="11.42578125" style="41"/>
    <col min="5594" max="5594" width="5" style="41" customWidth="1"/>
    <col min="5595" max="5606" width="6.85546875" style="41" customWidth="1"/>
    <col min="5607" max="5607" width="2.7109375" style="41" customWidth="1"/>
    <col min="5608" max="5608" width="11.140625" style="41" customWidth="1"/>
    <col min="5609" max="5622" width="7" style="41" customWidth="1"/>
    <col min="5623" max="5623" width="16.7109375" style="41" customWidth="1"/>
    <col min="5624" max="5624" width="7.5703125" style="41" customWidth="1"/>
    <col min="5625" max="5628" width="7" style="41" customWidth="1"/>
    <col min="5629" max="5849" width="11.42578125" style="41"/>
    <col min="5850" max="5850" width="5" style="41" customWidth="1"/>
    <col min="5851" max="5862" width="6.85546875" style="41" customWidth="1"/>
    <col min="5863" max="5863" width="2.7109375" style="41" customWidth="1"/>
    <col min="5864" max="5864" width="11.140625" style="41" customWidth="1"/>
    <col min="5865" max="5878" width="7" style="41" customWidth="1"/>
    <col min="5879" max="5879" width="16.7109375" style="41" customWidth="1"/>
    <col min="5880" max="5880" width="7.5703125" style="41" customWidth="1"/>
    <col min="5881" max="5884" width="7" style="41" customWidth="1"/>
    <col min="5885" max="6105" width="11.42578125" style="41"/>
    <col min="6106" max="6106" width="5" style="41" customWidth="1"/>
    <col min="6107" max="6118" width="6.85546875" style="41" customWidth="1"/>
    <col min="6119" max="6119" width="2.7109375" style="41" customWidth="1"/>
    <col min="6120" max="6120" width="11.140625" style="41" customWidth="1"/>
    <col min="6121" max="6134" width="7" style="41" customWidth="1"/>
    <col min="6135" max="6135" width="16.7109375" style="41" customWidth="1"/>
    <col min="6136" max="6136" width="7.5703125" style="41" customWidth="1"/>
    <col min="6137" max="6140" width="7" style="41" customWidth="1"/>
    <col min="6141" max="6361" width="11.42578125" style="41"/>
    <col min="6362" max="6362" width="5" style="41" customWidth="1"/>
    <col min="6363" max="6374" width="6.85546875" style="41" customWidth="1"/>
    <col min="6375" max="6375" width="2.7109375" style="41" customWidth="1"/>
    <col min="6376" max="6376" width="11.140625" style="41" customWidth="1"/>
    <col min="6377" max="6390" width="7" style="41" customWidth="1"/>
    <col min="6391" max="6391" width="16.7109375" style="41" customWidth="1"/>
    <col min="6392" max="6392" width="7.5703125" style="41" customWidth="1"/>
    <col min="6393" max="6396" width="7" style="41" customWidth="1"/>
    <col min="6397" max="6617" width="11.42578125" style="41"/>
    <col min="6618" max="6618" width="5" style="41" customWidth="1"/>
    <col min="6619" max="6630" width="6.85546875" style="41" customWidth="1"/>
    <col min="6631" max="6631" width="2.7109375" style="41" customWidth="1"/>
    <col min="6632" max="6632" width="11.140625" style="41" customWidth="1"/>
    <col min="6633" max="6646" width="7" style="41" customWidth="1"/>
    <col min="6647" max="6647" width="16.7109375" style="41" customWidth="1"/>
    <col min="6648" max="6648" width="7.5703125" style="41" customWidth="1"/>
    <col min="6649" max="6652" width="7" style="41" customWidth="1"/>
    <col min="6653" max="6873" width="11.42578125" style="41"/>
    <col min="6874" max="6874" width="5" style="41" customWidth="1"/>
    <col min="6875" max="6886" width="6.85546875" style="41" customWidth="1"/>
    <col min="6887" max="6887" width="2.7109375" style="41" customWidth="1"/>
    <col min="6888" max="6888" width="11.140625" style="41" customWidth="1"/>
    <col min="6889" max="6902" width="7" style="41" customWidth="1"/>
    <col min="6903" max="6903" width="16.7109375" style="41" customWidth="1"/>
    <col min="6904" max="6904" width="7.5703125" style="41" customWidth="1"/>
    <col min="6905" max="6908" width="7" style="41" customWidth="1"/>
    <col min="6909" max="7129" width="11.42578125" style="41"/>
    <col min="7130" max="7130" width="5" style="41" customWidth="1"/>
    <col min="7131" max="7142" width="6.85546875" style="41" customWidth="1"/>
    <col min="7143" max="7143" width="2.7109375" style="41" customWidth="1"/>
    <col min="7144" max="7144" width="11.140625" style="41" customWidth="1"/>
    <col min="7145" max="7158" width="7" style="41" customWidth="1"/>
    <col min="7159" max="7159" width="16.7109375" style="41" customWidth="1"/>
    <col min="7160" max="7160" width="7.5703125" style="41" customWidth="1"/>
    <col min="7161" max="7164" width="7" style="41" customWidth="1"/>
    <col min="7165" max="7385" width="11.42578125" style="41"/>
    <col min="7386" max="7386" width="5" style="41" customWidth="1"/>
    <col min="7387" max="7398" width="6.85546875" style="41" customWidth="1"/>
    <col min="7399" max="7399" width="2.7109375" style="41" customWidth="1"/>
    <col min="7400" max="7400" width="11.140625" style="41" customWidth="1"/>
    <col min="7401" max="7414" width="7" style="41" customWidth="1"/>
    <col min="7415" max="7415" width="16.7109375" style="41" customWidth="1"/>
    <col min="7416" max="7416" width="7.5703125" style="41" customWidth="1"/>
    <col min="7417" max="7420" width="7" style="41" customWidth="1"/>
    <col min="7421" max="7641" width="11.42578125" style="41"/>
    <col min="7642" max="7642" width="5" style="41" customWidth="1"/>
    <col min="7643" max="7654" width="6.85546875" style="41" customWidth="1"/>
    <col min="7655" max="7655" width="2.7109375" style="41" customWidth="1"/>
    <col min="7656" max="7656" width="11.140625" style="41" customWidth="1"/>
    <col min="7657" max="7670" width="7" style="41" customWidth="1"/>
    <col min="7671" max="7671" width="16.7109375" style="41" customWidth="1"/>
    <col min="7672" max="7672" width="7.5703125" style="41" customWidth="1"/>
    <col min="7673" max="7676" width="7" style="41" customWidth="1"/>
    <col min="7677" max="7897" width="11.42578125" style="41"/>
    <col min="7898" max="7898" width="5" style="41" customWidth="1"/>
    <col min="7899" max="7910" width="6.85546875" style="41" customWidth="1"/>
    <col min="7911" max="7911" width="2.7109375" style="41" customWidth="1"/>
    <col min="7912" max="7912" width="11.140625" style="41" customWidth="1"/>
    <col min="7913" max="7926" width="7" style="41" customWidth="1"/>
    <col min="7927" max="7927" width="16.7109375" style="41" customWidth="1"/>
    <col min="7928" max="7928" width="7.5703125" style="41" customWidth="1"/>
    <col min="7929" max="7932" width="7" style="41" customWidth="1"/>
    <col min="7933" max="8153" width="11.42578125" style="41"/>
    <col min="8154" max="8154" width="5" style="41" customWidth="1"/>
    <col min="8155" max="8166" width="6.85546875" style="41" customWidth="1"/>
    <col min="8167" max="8167" width="2.7109375" style="41" customWidth="1"/>
    <col min="8168" max="8168" width="11.140625" style="41" customWidth="1"/>
    <col min="8169" max="8182" width="7" style="41" customWidth="1"/>
    <col min="8183" max="8183" width="16.7109375" style="41" customWidth="1"/>
    <col min="8184" max="8184" width="7.5703125" style="41" customWidth="1"/>
    <col min="8185" max="8188" width="7" style="41" customWidth="1"/>
    <col min="8189" max="8409" width="11.42578125" style="41"/>
    <col min="8410" max="8410" width="5" style="41" customWidth="1"/>
    <col min="8411" max="8422" width="6.85546875" style="41" customWidth="1"/>
    <col min="8423" max="8423" width="2.7109375" style="41" customWidth="1"/>
    <col min="8424" max="8424" width="11.140625" style="41" customWidth="1"/>
    <col min="8425" max="8438" width="7" style="41" customWidth="1"/>
    <col min="8439" max="8439" width="16.7109375" style="41" customWidth="1"/>
    <col min="8440" max="8440" width="7.5703125" style="41" customWidth="1"/>
    <col min="8441" max="8444" width="7" style="41" customWidth="1"/>
    <col min="8445" max="8665" width="11.42578125" style="41"/>
    <col min="8666" max="8666" width="5" style="41" customWidth="1"/>
    <col min="8667" max="8678" width="6.85546875" style="41" customWidth="1"/>
    <col min="8679" max="8679" width="2.7109375" style="41" customWidth="1"/>
    <col min="8680" max="8680" width="11.140625" style="41" customWidth="1"/>
    <col min="8681" max="8694" width="7" style="41" customWidth="1"/>
    <col min="8695" max="8695" width="16.7109375" style="41" customWidth="1"/>
    <col min="8696" max="8696" width="7.5703125" style="41" customWidth="1"/>
    <col min="8697" max="8700" width="7" style="41" customWidth="1"/>
    <col min="8701" max="8921" width="11.42578125" style="41"/>
    <col min="8922" max="8922" width="5" style="41" customWidth="1"/>
    <col min="8923" max="8934" width="6.85546875" style="41" customWidth="1"/>
    <col min="8935" max="8935" width="2.7109375" style="41" customWidth="1"/>
    <col min="8936" max="8936" width="11.140625" style="41" customWidth="1"/>
    <col min="8937" max="8950" width="7" style="41" customWidth="1"/>
    <col min="8951" max="8951" width="16.7109375" style="41" customWidth="1"/>
    <col min="8952" max="8952" width="7.5703125" style="41" customWidth="1"/>
    <col min="8953" max="8956" width="7" style="41" customWidth="1"/>
    <col min="8957" max="9177" width="11.42578125" style="41"/>
    <col min="9178" max="9178" width="5" style="41" customWidth="1"/>
    <col min="9179" max="9190" width="6.85546875" style="41" customWidth="1"/>
    <col min="9191" max="9191" width="2.7109375" style="41" customWidth="1"/>
    <col min="9192" max="9192" width="11.140625" style="41" customWidth="1"/>
    <col min="9193" max="9206" width="7" style="41" customWidth="1"/>
    <col min="9207" max="9207" width="16.7109375" style="41" customWidth="1"/>
    <col min="9208" max="9208" width="7.5703125" style="41" customWidth="1"/>
    <col min="9209" max="9212" width="7" style="41" customWidth="1"/>
    <col min="9213" max="9433" width="11.42578125" style="41"/>
    <col min="9434" max="9434" width="5" style="41" customWidth="1"/>
    <col min="9435" max="9446" width="6.85546875" style="41" customWidth="1"/>
    <col min="9447" max="9447" width="2.7109375" style="41" customWidth="1"/>
    <col min="9448" max="9448" width="11.140625" style="41" customWidth="1"/>
    <col min="9449" max="9462" width="7" style="41" customWidth="1"/>
    <col min="9463" max="9463" width="16.7109375" style="41" customWidth="1"/>
    <col min="9464" max="9464" width="7.5703125" style="41" customWidth="1"/>
    <col min="9465" max="9468" width="7" style="41" customWidth="1"/>
    <col min="9469" max="9689" width="11.42578125" style="41"/>
    <col min="9690" max="9690" width="5" style="41" customWidth="1"/>
    <col min="9691" max="9702" width="6.85546875" style="41" customWidth="1"/>
    <col min="9703" max="9703" width="2.7109375" style="41" customWidth="1"/>
    <col min="9704" max="9704" width="11.140625" style="41" customWidth="1"/>
    <col min="9705" max="9718" width="7" style="41" customWidth="1"/>
    <col min="9719" max="9719" width="16.7109375" style="41" customWidth="1"/>
    <col min="9720" max="9720" width="7.5703125" style="41" customWidth="1"/>
    <col min="9721" max="9724" width="7" style="41" customWidth="1"/>
    <col min="9725" max="9945" width="11.42578125" style="41"/>
    <col min="9946" max="9946" width="5" style="41" customWidth="1"/>
    <col min="9947" max="9958" width="6.85546875" style="41" customWidth="1"/>
    <col min="9959" max="9959" width="2.7109375" style="41" customWidth="1"/>
    <col min="9960" max="9960" width="11.140625" style="41" customWidth="1"/>
    <col min="9961" max="9974" width="7" style="41" customWidth="1"/>
    <col min="9975" max="9975" width="16.7109375" style="41" customWidth="1"/>
    <col min="9976" max="9976" width="7.5703125" style="41" customWidth="1"/>
    <col min="9977" max="9980" width="7" style="41" customWidth="1"/>
    <col min="9981" max="10201" width="11.42578125" style="41"/>
    <col min="10202" max="10202" width="5" style="41" customWidth="1"/>
    <col min="10203" max="10214" width="6.85546875" style="41" customWidth="1"/>
    <col min="10215" max="10215" width="2.7109375" style="41" customWidth="1"/>
    <col min="10216" max="10216" width="11.140625" style="41" customWidth="1"/>
    <col min="10217" max="10230" width="7" style="41" customWidth="1"/>
    <col min="10231" max="10231" width="16.7109375" style="41" customWidth="1"/>
    <col min="10232" max="10232" width="7.5703125" style="41" customWidth="1"/>
    <col min="10233" max="10236" width="7" style="41" customWidth="1"/>
    <col min="10237" max="10457" width="11.42578125" style="41"/>
    <col min="10458" max="10458" width="5" style="41" customWidth="1"/>
    <col min="10459" max="10470" width="6.85546875" style="41" customWidth="1"/>
    <col min="10471" max="10471" width="2.7109375" style="41" customWidth="1"/>
    <col min="10472" max="10472" width="11.140625" style="41" customWidth="1"/>
    <col min="10473" max="10486" width="7" style="41" customWidth="1"/>
    <col min="10487" max="10487" width="16.7109375" style="41" customWidth="1"/>
    <col min="10488" max="10488" width="7.5703125" style="41" customWidth="1"/>
    <col min="10489" max="10492" width="7" style="41" customWidth="1"/>
    <col min="10493" max="10713" width="11.42578125" style="41"/>
    <col min="10714" max="10714" width="5" style="41" customWidth="1"/>
    <col min="10715" max="10726" width="6.85546875" style="41" customWidth="1"/>
    <col min="10727" max="10727" width="2.7109375" style="41" customWidth="1"/>
    <col min="10728" max="10728" width="11.140625" style="41" customWidth="1"/>
    <col min="10729" max="10742" width="7" style="41" customWidth="1"/>
    <col min="10743" max="10743" width="16.7109375" style="41" customWidth="1"/>
    <col min="10744" max="10744" width="7.5703125" style="41" customWidth="1"/>
    <col min="10745" max="10748" width="7" style="41" customWidth="1"/>
    <col min="10749" max="10969" width="11.42578125" style="41"/>
    <col min="10970" max="10970" width="5" style="41" customWidth="1"/>
    <col min="10971" max="10982" width="6.85546875" style="41" customWidth="1"/>
    <col min="10983" max="10983" width="2.7109375" style="41" customWidth="1"/>
    <col min="10984" max="10984" width="11.140625" style="41" customWidth="1"/>
    <col min="10985" max="10998" width="7" style="41" customWidth="1"/>
    <col min="10999" max="10999" width="16.7109375" style="41" customWidth="1"/>
    <col min="11000" max="11000" width="7.5703125" style="41" customWidth="1"/>
    <col min="11001" max="11004" width="7" style="41" customWidth="1"/>
    <col min="11005" max="11225" width="11.42578125" style="41"/>
    <col min="11226" max="11226" width="5" style="41" customWidth="1"/>
    <col min="11227" max="11238" width="6.85546875" style="41" customWidth="1"/>
    <col min="11239" max="11239" width="2.7109375" style="41" customWidth="1"/>
    <col min="11240" max="11240" width="11.140625" style="41" customWidth="1"/>
    <col min="11241" max="11254" width="7" style="41" customWidth="1"/>
    <col min="11255" max="11255" width="16.7109375" style="41" customWidth="1"/>
    <col min="11256" max="11256" width="7.5703125" style="41" customWidth="1"/>
    <col min="11257" max="11260" width="7" style="41" customWidth="1"/>
    <col min="11261" max="11481" width="11.42578125" style="41"/>
    <col min="11482" max="11482" width="5" style="41" customWidth="1"/>
    <col min="11483" max="11494" width="6.85546875" style="41" customWidth="1"/>
    <col min="11495" max="11495" width="2.7109375" style="41" customWidth="1"/>
    <col min="11496" max="11496" width="11.140625" style="41" customWidth="1"/>
    <col min="11497" max="11510" width="7" style="41" customWidth="1"/>
    <col min="11511" max="11511" width="16.7109375" style="41" customWidth="1"/>
    <col min="11512" max="11512" width="7.5703125" style="41" customWidth="1"/>
    <col min="11513" max="11516" width="7" style="41" customWidth="1"/>
    <col min="11517" max="11737" width="11.42578125" style="41"/>
    <col min="11738" max="11738" width="5" style="41" customWidth="1"/>
    <col min="11739" max="11750" width="6.85546875" style="41" customWidth="1"/>
    <col min="11751" max="11751" width="2.7109375" style="41" customWidth="1"/>
    <col min="11752" max="11752" width="11.140625" style="41" customWidth="1"/>
    <col min="11753" max="11766" width="7" style="41" customWidth="1"/>
    <col min="11767" max="11767" width="16.7109375" style="41" customWidth="1"/>
    <col min="11768" max="11768" width="7.5703125" style="41" customWidth="1"/>
    <col min="11769" max="11772" width="7" style="41" customWidth="1"/>
    <col min="11773" max="11993" width="11.42578125" style="41"/>
    <col min="11994" max="11994" width="5" style="41" customWidth="1"/>
    <col min="11995" max="12006" width="6.85546875" style="41" customWidth="1"/>
    <col min="12007" max="12007" width="2.7109375" style="41" customWidth="1"/>
    <col min="12008" max="12008" width="11.140625" style="41" customWidth="1"/>
    <col min="12009" max="12022" width="7" style="41" customWidth="1"/>
    <col min="12023" max="12023" width="16.7109375" style="41" customWidth="1"/>
    <col min="12024" max="12024" width="7.5703125" style="41" customWidth="1"/>
    <col min="12025" max="12028" width="7" style="41" customWidth="1"/>
    <col min="12029" max="12249" width="11.42578125" style="41"/>
    <col min="12250" max="12250" width="5" style="41" customWidth="1"/>
    <col min="12251" max="12262" width="6.85546875" style="41" customWidth="1"/>
    <col min="12263" max="12263" width="2.7109375" style="41" customWidth="1"/>
    <col min="12264" max="12264" width="11.140625" style="41" customWidth="1"/>
    <col min="12265" max="12278" width="7" style="41" customWidth="1"/>
    <col min="12279" max="12279" width="16.7109375" style="41" customWidth="1"/>
    <col min="12280" max="12280" width="7.5703125" style="41" customWidth="1"/>
    <col min="12281" max="12284" width="7" style="41" customWidth="1"/>
    <col min="12285" max="12505" width="11.42578125" style="41"/>
    <col min="12506" max="12506" width="5" style="41" customWidth="1"/>
    <col min="12507" max="12518" width="6.85546875" style="41" customWidth="1"/>
    <col min="12519" max="12519" width="2.7109375" style="41" customWidth="1"/>
    <col min="12520" max="12520" width="11.140625" style="41" customWidth="1"/>
    <col min="12521" max="12534" width="7" style="41" customWidth="1"/>
    <col min="12535" max="12535" width="16.7109375" style="41" customWidth="1"/>
    <col min="12536" max="12536" width="7.5703125" style="41" customWidth="1"/>
    <col min="12537" max="12540" width="7" style="41" customWidth="1"/>
    <col min="12541" max="12761" width="11.42578125" style="41"/>
    <col min="12762" max="12762" width="5" style="41" customWidth="1"/>
    <col min="12763" max="12774" width="6.85546875" style="41" customWidth="1"/>
    <col min="12775" max="12775" width="2.7109375" style="41" customWidth="1"/>
    <col min="12776" max="12776" width="11.140625" style="41" customWidth="1"/>
    <col min="12777" max="12790" width="7" style="41" customWidth="1"/>
    <col min="12791" max="12791" width="16.7109375" style="41" customWidth="1"/>
    <col min="12792" max="12792" width="7.5703125" style="41" customWidth="1"/>
    <col min="12793" max="12796" width="7" style="41" customWidth="1"/>
    <col min="12797" max="13017" width="11.42578125" style="41"/>
    <col min="13018" max="13018" width="5" style="41" customWidth="1"/>
    <col min="13019" max="13030" width="6.85546875" style="41" customWidth="1"/>
    <col min="13031" max="13031" width="2.7109375" style="41" customWidth="1"/>
    <col min="13032" max="13032" width="11.140625" style="41" customWidth="1"/>
    <col min="13033" max="13046" width="7" style="41" customWidth="1"/>
    <col min="13047" max="13047" width="16.7109375" style="41" customWidth="1"/>
    <col min="13048" max="13048" width="7.5703125" style="41" customWidth="1"/>
    <col min="13049" max="13052" width="7" style="41" customWidth="1"/>
    <col min="13053" max="13273" width="11.42578125" style="41"/>
    <col min="13274" max="13274" width="5" style="41" customWidth="1"/>
    <col min="13275" max="13286" width="6.85546875" style="41" customWidth="1"/>
    <col min="13287" max="13287" width="2.7109375" style="41" customWidth="1"/>
    <col min="13288" max="13288" width="11.140625" style="41" customWidth="1"/>
    <col min="13289" max="13302" width="7" style="41" customWidth="1"/>
    <col min="13303" max="13303" width="16.7109375" style="41" customWidth="1"/>
    <col min="13304" max="13304" width="7.5703125" style="41" customWidth="1"/>
    <col min="13305" max="13308" width="7" style="41" customWidth="1"/>
    <col min="13309" max="13529" width="11.42578125" style="41"/>
    <col min="13530" max="13530" width="5" style="41" customWidth="1"/>
    <col min="13531" max="13542" width="6.85546875" style="41" customWidth="1"/>
    <col min="13543" max="13543" width="2.7109375" style="41" customWidth="1"/>
    <col min="13544" max="13544" width="11.140625" style="41" customWidth="1"/>
    <col min="13545" max="13558" width="7" style="41" customWidth="1"/>
    <col min="13559" max="13559" width="16.7109375" style="41" customWidth="1"/>
    <col min="13560" max="13560" width="7.5703125" style="41" customWidth="1"/>
    <col min="13561" max="13564" width="7" style="41" customWidth="1"/>
    <col min="13565" max="13785" width="11.42578125" style="41"/>
    <col min="13786" max="13786" width="5" style="41" customWidth="1"/>
    <col min="13787" max="13798" width="6.85546875" style="41" customWidth="1"/>
    <col min="13799" max="13799" width="2.7109375" style="41" customWidth="1"/>
    <col min="13800" max="13800" width="11.140625" style="41" customWidth="1"/>
    <col min="13801" max="13814" width="7" style="41" customWidth="1"/>
    <col min="13815" max="13815" width="16.7109375" style="41" customWidth="1"/>
    <col min="13816" max="13816" width="7.5703125" style="41" customWidth="1"/>
    <col min="13817" max="13820" width="7" style="41" customWidth="1"/>
    <col min="13821" max="14041" width="11.42578125" style="41"/>
    <col min="14042" max="14042" width="5" style="41" customWidth="1"/>
    <col min="14043" max="14054" width="6.85546875" style="41" customWidth="1"/>
    <col min="14055" max="14055" width="2.7109375" style="41" customWidth="1"/>
    <col min="14056" max="14056" width="11.140625" style="41" customWidth="1"/>
    <col min="14057" max="14070" width="7" style="41" customWidth="1"/>
    <col min="14071" max="14071" width="16.7109375" style="41" customWidth="1"/>
    <col min="14072" max="14072" width="7.5703125" style="41" customWidth="1"/>
    <col min="14073" max="14076" width="7" style="41" customWidth="1"/>
    <col min="14077" max="14297" width="11.42578125" style="41"/>
    <col min="14298" max="14298" width="5" style="41" customWidth="1"/>
    <col min="14299" max="14310" width="6.85546875" style="41" customWidth="1"/>
    <col min="14311" max="14311" width="2.7109375" style="41" customWidth="1"/>
    <col min="14312" max="14312" width="11.140625" style="41" customWidth="1"/>
    <col min="14313" max="14326" width="7" style="41" customWidth="1"/>
    <col min="14327" max="14327" width="16.7109375" style="41" customWidth="1"/>
    <col min="14328" max="14328" width="7.5703125" style="41" customWidth="1"/>
    <col min="14329" max="14332" width="7" style="41" customWidth="1"/>
    <col min="14333" max="14553" width="11.42578125" style="41"/>
    <col min="14554" max="14554" width="5" style="41" customWidth="1"/>
    <col min="14555" max="14566" width="6.85546875" style="41" customWidth="1"/>
    <col min="14567" max="14567" width="2.7109375" style="41" customWidth="1"/>
    <col min="14568" max="14568" width="11.140625" style="41" customWidth="1"/>
    <col min="14569" max="14582" width="7" style="41" customWidth="1"/>
    <col min="14583" max="14583" width="16.7109375" style="41" customWidth="1"/>
    <col min="14584" max="14584" width="7.5703125" style="41" customWidth="1"/>
    <col min="14585" max="14588" width="7" style="41" customWidth="1"/>
    <col min="14589" max="14809" width="11.42578125" style="41"/>
    <col min="14810" max="14810" width="5" style="41" customWidth="1"/>
    <col min="14811" max="14822" width="6.85546875" style="41" customWidth="1"/>
    <col min="14823" max="14823" width="2.7109375" style="41" customWidth="1"/>
    <col min="14824" max="14824" width="11.140625" style="41" customWidth="1"/>
    <col min="14825" max="14838" width="7" style="41" customWidth="1"/>
    <col min="14839" max="14839" width="16.7109375" style="41" customWidth="1"/>
    <col min="14840" max="14840" width="7.5703125" style="41" customWidth="1"/>
    <col min="14841" max="14844" width="7" style="41" customWidth="1"/>
    <col min="14845" max="15065" width="11.42578125" style="41"/>
    <col min="15066" max="15066" width="5" style="41" customWidth="1"/>
    <col min="15067" max="15078" width="6.85546875" style="41" customWidth="1"/>
    <col min="15079" max="15079" width="2.7109375" style="41" customWidth="1"/>
    <col min="15080" max="15080" width="11.140625" style="41" customWidth="1"/>
    <col min="15081" max="15094" width="7" style="41" customWidth="1"/>
    <col min="15095" max="15095" width="16.7109375" style="41" customWidth="1"/>
    <col min="15096" max="15096" width="7.5703125" style="41" customWidth="1"/>
    <col min="15097" max="15100" width="7" style="41" customWidth="1"/>
    <col min="15101" max="15321" width="11.42578125" style="41"/>
    <col min="15322" max="15322" width="5" style="41" customWidth="1"/>
    <col min="15323" max="15334" width="6.85546875" style="41" customWidth="1"/>
    <col min="15335" max="15335" width="2.7109375" style="41" customWidth="1"/>
    <col min="15336" max="15336" width="11.140625" style="41" customWidth="1"/>
    <col min="15337" max="15350" width="7" style="41" customWidth="1"/>
    <col min="15351" max="15351" width="16.7109375" style="41" customWidth="1"/>
    <col min="15352" max="15352" width="7.5703125" style="41" customWidth="1"/>
    <col min="15353" max="15356" width="7" style="41" customWidth="1"/>
    <col min="15357" max="15577" width="11.42578125" style="41"/>
    <col min="15578" max="15578" width="5" style="41" customWidth="1"/>
    <col min="15579" max="15590" width="6.85546875" style="41" customWidth="1"/>
    <col min="15591" max="15591" width="2.7109375" style="41" customWidth="1"/>
    <col min="15592" max="15592" width="11.140625" style="41" customWidth="1"/>
    <col min="15593" max="15606" width="7" style="41" customWidth="1"/>
    <col min="15607" max="15607" width="16.7109375" style="41" customWidth="1"/>
    <col min="15608" max="15608" width="7.5703125" style="41" customWidth="1"/>
    <col min="15609" max="15612" width="7" style="41" customWidth="1"/>
    <col min="15613" max="15833" width="11.42578125" style="41"/>
    <col min="15834" max="15834" width="5" style="41" customWidth="1"/>
    <col min="15835" max="15846" width="6.85546875" style="41" customWidth="1"/>
    <col min="15847" max="15847" width="2.7109375" style="41" customWidth="1"/>
    <col min="15848" max="15848" width="11.140625" style="41" customWidth="1"/>
    <col min="15849" max="15862" width="7" style="41" customWidth="1"/>
    <col min="15863" max="15863" width="16.7109375" style="41" customWidth="1"/>
    <col min="15864" max="15864" width="7.5703125" style="41" customWidth="1"/>
    <col min="15865" max="15868" width="7" style="41" customWidth="1"/>
    <col min="15869" max="16089" width="11.42578125" style="41"/>
    <col min="16090" max="16090" width="5" style="41" customWidth="1"/>
    <col min="16091" max="16102" width="6.85546875" style="41" customWidth="1"/>
    <col min="16103" max="16103" width="2.7109375" style="41" customWidth="1"/>
    <col min="16104" max="16104" width="11.140625" style="41" customWidth="1"/>
    <col min="16105" max="16118" width="7" style="41" customWidth="1"/>
    <col min="16119" max="16119" width="16.7109375" style="41" customWidth="1"/>
    <col min="16120" max="16120" width="7.5703125" style="41" customWidth="1"/>
    <col min="16121" max="16124" width="7" style="41" customWidth="1"/>
    <col min="16125" max="16384" width="11.42578125" style="41"/>
  </cols>
  <sheetData>
    <row r="1" spans="1:33" x14ac:dyDescent="0.2">
      <c r="A1" s="40">
        <f>VLOOKUP('MT-ETUS'!H32,CLIMA!P2:R20,2)</f>
        <v>4</v>
      </c>
      <c r="C1" s="113" t="s">
        <v>4</v>
      </c>
      <c r="D1" s="113" t="s">
        <v>5</v>
      </c>
      <c r="E1" s="113" t="s">
        <v>6</v>
      </c>
      <c r="F1" s="113" t="s">
        <v>7</v>
      </c>
      <c r="G1" s="113" t="s">
        <v>8</v>
      </c>
      <c r="H1" s="113" t="s">
        <v>9</v>
      </c>
      <c r="I1" s="113" t="s">
        <v>10</v>
      </c>
      <c r="J1" s="113" t="s">
        <v>11</v>
      </c>
      <c r="K1" s="113" t="s">
        <v>12</v>
      </c>
      <c r="L1" s="113" t="s">
        <v>13</v>
      </c>
      <c r="M1" s="113" t="s">
        <v>14</v>
      </c>
      <c r="N1" s="113" t="s">
        <v>15</v>
      </c>
      <c r="P1" s="41" t="s">
        <v>594</v>
      </c>
      <c r="S1" s="539" t="s">
        <v>691</v>
      </c>
      <c r="T1" s="526" t="s">
        <v>4</v>
      </c>
      <c r="U1" s="526" t="s">
        <v>5</v>
      </c>
      <c r="V1" s="526" t="s">
        <v>6</v>
      </c>
      <c r="W1" s="526" t="s">
        <v>7</v>
      </c>
      <c r="X1" s="526" t="s">
        <v>8</v>
      </c>
      <c r="Y1" s="526" t="s">
        <v>9</v>
      </c>
      <c r="Z1" s="526" t="s">
        <v>10</v>
      </c>
      <c r="AA1" s="526" t="s">
        <v>11</v>
      </c>
      <c r="AB1" s="526" t="s">
        <v>675</v>
      </c>
      <c r="AC1" s="526" t="s">
        <v>13</v>
      </c>
      <c r="AD1" s="526" t="s">
        <v>14</v>
      </c>
      <c r="AE1" s="526" t="s">
        <v>15</v>
      </c>
      <c r="AF1" s="526" t="s">
        <v>676</v>
      </c>
      <c r="AG1" s="527" t="s">
        <v>1868</v>
      </c>
    </row>
    <row r="2" spans="1:33" x14ac:dyDescent="0.2">
      <c r="A2" s="110">
        <f>A$1*100+B2</f>
        <v>400</v>
      </c>
      <c r="B2" s="42">
        <v>0</v>
      </c>
      <c r="C2" s="112">
        <f t="shared" ref="C2:C22" si="0">VLOOKUP($A2,$A$28:$N$598,3)</f>
        <v>26.248999999999999</v>
      </c>
      <c r="D2" s="112">
        <f t="shared" ref="D2:D22" si="1">VLOOKUP($A2,$A$28:$N$598,4)</f>
        <v>21.798300000000001</v>
      </c>
      <c r="E2" s="112">
        <f t="shared" ref="E2:E22" si="2">VLOOKUP($A2,$A$28:$N$598,5)</f>
        <v>17.965399999999999</v>
      </c>
      <c r="F2" s="112">
        <f t="shared" ref="F2:F22" si="3">VLOOKUP($A2,$A$28:$N$598,6)</f>
        <v>13.404299999999999</v>
      </c>
      <c r="G2" s="112">
        <f t="shared" ref="G2:G22" si="4">VLOOKUP($A2,$A$28:$N$598,7)</f>
        <v>9.3945000000000007</v>
      </c>
      <c r="H2" s="112">
        <f t="shared" ref="H2:H22" si="5">VLOOKUP($A2,$A$28:$N$598,8)</f>
        <v>7.6936</v>
      </c>
      <c r="I2" s="112">
        <f t="shared" ref="I2:I22" si="6">VLOOKUP($A2,$A$28:$N$598,9)</f>
        <v>8.4921000000000006</v>
      </c>
      <c r="J2" s="112">
        <f t="shared" ref="J2:J22" si="7">VLOOKUP($A2,$A$28:$N$598,10)</f>
        <v>10.7837</v>
      </c>
      <c r="K2" s="112">
        <f t="shared" ref="K2:K22" si="8">VLOOKUP($A2,$A$28:$N$598,11)</f>
        <v>14.641500000000001</v>
      </c>
      <c r="L2" s="112">
        <f t="shared" ref="L2:L22" si="9">VLOOKUP($A2,$A$28:$N$598,12)</f>
        <v>19.072800000000001</v>
      </c>
      <c r="M2" s="112">
        <f t="shared" ref="M2:M22" si="10">VLOOKUP($A2,$A$28:$N$598,13)</f>
        <v>23.743400000000001</v>
      </c>
      <c r="N2" s="112">
        <f t="shared" ref="N2:N22" si="11">VLOOKUP($A2,$A$28:$N$598,14)</f>
        <v>26.014900000000001</v>
      </c>
      <c r="P2" s="41" t="s">
        <v>575</v>
      </c>
      <c r="Q2" s="41">
        <v>1</v>
      </c>
      <c r="R2" s="40" t="s">
        <v>595</v>
      </c>
      <c r="S2" s="528" t="s">
        <v>575</v>
      </c>
      <c r="T2" s="529">
        <v>25.4</v>
      </c>
      <c r="U2" s="529">
        <v>24.6</v>
      </c>
      <c r="V2" s="529">
        <v>22.5</v>
      </c>
      <c r="W2" s="529">
        <v>18.899999999999999</v>
      </c>
      <c r="X2" s="529">
        <v>15.7</v>
      </c>
      <c r="Y2" s="529">
        <v>12.9</v>
      </c>
      <c r="Z2" s="529">
        <v>13.1</v>
      </c>
      <c r="AA2" s="529">
        <v>14.4</v>
      </c>
      <c r="AB2" s="529">
        <v>16</v>
      </c>
      <c r="AC2" s="529">
        <v>18.7</v>
      </c>
      <c r="AD2" s="529">
        <v>21.4</v>
      </c>
      <c r="AE2" s="529">
        <v>24</v>
      </c>
      <c r="AF2" s="529">
        <v>19</v>
      </c>
      <c r="AG2" s="530" t="s">
        <v>575</v>
      </c>
    </row>
    <row r="3" spans="1:33" x14ac:dyDescent="0.2">
      <c r="A3" s="110">
        <f t="shared" ref="A3:A22" si="12">A$1*100+B3</f>
        <v>405</v>
      </c>
      <c r="B3" s="42">
        <f>B2+5</f>
        <v>5</v>
      </c>
      <c r="C3" s="112">
        <f t="shared" si="0"/>
        <v>26.305599999999998</v>
      </c>
      <c r="D3" s="112">
        <f t="shared" si="1"/>
        <v>22.146699999999999</v>
      </c>
      <c r="E3" s="112">
        <f t="shared" si="2"/>
        <v>18.6343</v>
      </c>
      <c r="F3" s="112">
        <f t="shared" si="3"/>
        <v>14.240500000000001</v>
      </c>
      <c r="G3" s="112">
        <f t="shared" si="4"/>
        <v>10.1638</v>
      </c>
      <c r="H3" s="112">
        <f t="shared" si="5"/>
        <v>8.4082000000000008</v>
      </c>
      <c r="I3" s="112">
        <f t="shared" si="6"/>
        <v>9.3089999999999993</v>
      </c>
      <c r="J3" s="112">
        <f t="shared" si="7"/>
        <v>11.5183</v>
      </c>
      <c r="K3" s="112">
        <f t="shared" si="8"/>
        <v>15.3104</v>
      </c>
      <c r="L3" s="112">
        <f t="shared" si="9"/>
        <v>19.524000000000001</v>
      </c>
      <c r="M3" s="112">
        <f t="shared" si="10"/>
        <v>23.9253</v>
      </c>
      <c r="N3" s="112">
        <f t="shared" si="11"/>
        <v>25.980499999999999</v>
      </c>
      <c r="P3" s="41" t="s">
        <v>576</v>
      </c>
      <c r="Q3" s="41">
        <v>2</v>
      </c>
      <c r="R3" s="40" t="s">
        <v>596</v>
      </c>
      <c r="S3" s="528" t="s">
        <v>576</v>
      </c>
      <c r="T3" s="531">
        <v>22.7</v>
      </c>
      <c r="U3" s="531">
        <v>22.3</v>
      </c>
      <c r="V3" s="531">
        <v>20.5</v>
      </c>
      <c r="W3" s="531">
        <v>17.2</v>
      </c>
      <c r="X3" s="531">
        <v>13.9</v>
      </c>
      <c r="Y3" s="531">
        <v>11</v>
      </c>
      <c r="Z3" s="531">
        <v>10.7</v>
      </c>
      <c r="AA3" s="531">
        <v>11.5</v>
      </c>
      <c r="AB3" s="531">
        <v>13.2</v>
      </c>
      <c r="AC3" s="531">
        <v>15.7</v>
      </c>
      <c r="AD3" s="531">
        <v>18.3</v>
      </c>
      <c r="AE3" s="531">
        <v>21.1</v>
      </c>
      <c r="AF3" s="531">
        <v>16.5</v>
      </c>
      <c r="AG3" s="532" t="s">
        <v>684</v>
      </c>
    </row>
    <row r="4" spans="1:33" x14ac:dyDescent="0.2">
      <c r="A4" s="110">
        <f t="shared" si="12"/>
        <v>410</v>
      </c>
      <c r="B4" s="42">
        <f t="shared" ref="B4:B20" si="13">B3+5</f>
        <v>10</v>
      </c>
      <c r="C4" s="112">
        <f t="shared" si="0"/>
        <v>26.1996</v>
      </c>
      <c r="D4" s="112">
        <f t="shared" si="1"/>
        <v>22.3626</v>
      </c>
      <c r="E4" s="112">
        <f t="shared" si="2"/>
        <v>19.191400000000002</v>
      </c>
      <c r="F4" s="112">
        <f t="shared" si="3"/>
        <v>14.992900000000001</v>
      </c>
      <c r="G4" s="112">
        <f t="shared" si="4"/>
        <v>10.875500000000001</v>
      </c>
      <c r="H4" s="112">
        <f t="shared" si="5"/>
        <v>9.0761000000000003</v>
      </c>
      <c r="I4" s="112">
        <f t="shared" si="6"/>
        <v>10.071999999999999</v>
      </c>
      <c r="J4" s="112">
        <f t="shared" si="7"/>
        <v>12.1873</v>
      </c>
      <c r="K4" s="112">
        <f t="shared" si="8"/>
        <v>15.889699999999999</v>
      </c>
      <c r="L4" s="112">
        <f t="shared" si="9"/>
        <v>19.859200000000001</v>
      </c>
      <c r="M4" s="112">
        <f t="shared" si="10"/>
        <v>23.962199999999999</v>
      </c>
      <c r="N4" s="112">
        <f t="shared" si="11"/>
        <v>25.787199999999999</v>
      </c>
      <c r="P4" s="41" t="s">
        <v>577</v>
      </c>
      <c r="Q4" s="41">
        <v>3</v>
      </c>
      <c r="R4" s="40" t="s">
        <v>608</v>
      </c>
      <c r="S4" s="528" t="s">
        <v>577</v>
      </c>
      <c r="T4" s="529">
        <v>23.2</v>
      </c>
      <c r="U4" s="529">
        <v>22.8</v>
      </c>
      <c r="V4" s="529">
        <v>20.8</v>
      </c>
      <c r="W4" s="529">
        <v>17.2</v>
      </c>
      <c r="X4" s="529">
        <v>13.9</v>
      </c>
      <c r="Y4" s="529">
        <v>11.1</v>
      </c>
      <c r="Z4" s="529">
        <v>11.5</v>
      </c>
      <c r="AA4" s="529">
        <v>12.4</v>
      </c>
      <c r="AB4" s="529">
        <v>14.1</v>
      </c>
      <c r="AC4" s="529">
        <v>16.899999999999999</v>
      </c>
      <c r="AD4" s="529">
        <v>18.899999999999999</v>
      </c>
      <c r="AE4" s="529">
        <v>21.7</v>
      </c>
      <c r="AF4" s="529">
        <v>17</v>
      </c>
      <c r="AG4" s="530" t="s">
        <v>679</v>
      </c>
    </row>
    <row r="5" spans="1:33" x14ac:dyDescent="0.2">
      <c r="A5" s="110">
        <f t="shared" si="12"/>
        <v>415</v>
      </c>
      <c r="B5" s="42">
        <f t="shared" si="13"/>
        <v>15</v>
      </c>
      <c r="C5" s="112">
        <f t="shared" si="0"/>
        <v>25.932099999999998</v>
      </c>
      <c r="D5" s="112">
        <f t="shared" si="1"/>
        <v>22.444400000000002</v>
      </c>
      <c r="E5" s="112">
        <f t="shared" si="2"/>
        <v>19.6327</v>
      </c>
      <c r="F5" s="112">
        <f t="shared" si="3"/>
        <v>15.6557</v>
      </c>
      <c r="G5" s="112">
        <f t="shared" si="4"/>
        <v>11.524100000000001</v>
      </c>
      <c r="H5" s="112">
        <f t="shared" si="5"/>
        <v>9.6920999999999999</v>
      </c>
      <c r="I5" s="112">
        <f t="shared" si="6"/>
        <v>10.7753</v>
      </c>
      <c r="J5" s="112">
        <f t="shared" si="7"/>
        <v>12.785500000000001</v>
      </c>
      <c r="K5" s="112">
        <f t="shared" si="8"/>
        <v>16.375</v>
      </c>
      <c r="L5" s="112">
        <f t="shared" si="9"/>
        <v>20.075900000000001</v>
      </c>
      <c r="M5" s="112">
        <f t="shared" si="10"/>
        <v>23.8536</v>
      </c>
      <c r="N5" s="112">
        <f t="shared" si="11"/>
        <v>25.436499999999999</v>
      </c>
      <c r="P5" s="41" t="s">
        <v>578</v>
      </c>
      <c r="Q5" s="41">
        <v>4</v>
      </c>
      <c r="R5" s="40" t="s">
        <v>597</v>
      </c>
      <c r="S5" s="528" t="s">
        <v>578</v>
      </c>
      <c r="T5" s="529">
        <v>23.7</v>
      </c>
      <c r="U5" s="529">
        <v>22.9</v>
      </c>
      <c r="V5" s="529">
        <v>21.2</v>
      </c>
      <c r="W5" s="529">
        <v>17.899999999999999</v>
      </c>
      <c r="X5" s="529">
        <v>14.8</v>
      </c>
      <c r="Y5" s="529">
        <v>11.7</v>
      </c>
      <c r="Z5" s="529">
        <v>11.4</v>
      </c>
      <c r="AA5" s="529">
        <v>12.2</v>
      </c>
      <c r="AB5" s="529">
        <v>14.1</v>
      </c>
      <c r="AC5" s="529">
        <v>16.8</v>
      </c>
      <c r="AD5" s="529">
        <v>19.5</v>
      </c>
      <c r="AE5" s="529">
        <v>22.3</v>
      </c>
      <c r="AF5" s="529">
        <v>17.399999999999999</v>
      </c>
      <c r="AG5" s="530" t="s">
        <v>578</v>
      </c>
    </row>
    <row r="6" spans="1:33" x14ac:dyDescent="0.2">
      <c r="A6" s="110">
        <f t="shared" si="12"/>
        <v>420</v>
      </c>
      <c r="B6" s="42">
        <f t="shared" si="13"/>
        <v>20</v>
      </c>
      <c r="C6" s="112">
        <f t="shared" si="0"/>
        <v>25.504799999999999</v>
      </c>
      <c r="D6" s="112">
        <f t="shared" si="1"/>
        <v>22.391500000000001</v>
      </c>
      <c r="E6" s="112">
        <f t="shared" si="2"/>
        <v>19.954499999999999</v>
      </c>
      <c r="F6" s="112">
        <f t="shared" si="3"/>
        <v>16.223800000000001</v>
      </c>
      <c r="G6" s="112">
        <f t="shared" si="4"/>
        <v>12.1046</v>
      </c>
      <c r="H6" s="112">
        <f t="shared" si="5"/>
        <v>10.2516</v>
      </c>
      <c r="I6" s="112">
        <f t="shared" si="6"/>
        <v>11.4137</v>
      </c>
      <c r="J6" s="112">
        <f t="shared" si="7"/>
        <v>13.308299999999999</v>
      </c>
      <c r="K6" s="112">
        <f t="shared" si="8"/>
        <v>16.762699999999999</v>
      </c>
      <c r="L6" s="112">
        <f t="shared" si="9"/>
        <v>20.172499999999999</v>
      </c>
      <c r="M6" s="112">
        <f t="shared" si="10"/>
        <v>23.6005</v>
      </c>
      <c r="N6" s="112">
        <f t="shared" si="11"/>
        <v>24.931000000000001</v>
      </c>
      <c r="P6" s="41" t="s">
        <v>579</v>
      </c>
      <c r="Q6" s="41">
        <v>5</v>
      </c>
      <c r="R6" s="40" t="s">
        <v>598</v>
      </c>
      <c r="S6" s="528" t="s">
        <v>579</v>
      </c>
      <c r="T6" s="531">
        <v>24.6</v>
      </c>
      <c r="U6" s="531">
        <v>23.7</v>
      </c>
      <c r="V6" s="531">
        <v>21.6</v>
      </c>
      <c r="W6" s="531">
        <v>17.7</v>
      </c>
      <c r="X6" s="531">
        <v>14.6</v>
      </c>
      <c r="Y6" s="531">
        <v>11.5</v>
      </c>
      <c r="Z6" s="531">
        <v>11.4</v>
      </c>
      <c r="AA6" s="531">
        <v>12.5</v>
      </c>
      <c r="AB6" s="531">
        <v>14.3</v>
      </c>
      <c r="AC6" s="531">
        <v>17.3</v>
      </c>
      <c r="AD6" s="531">
        <v>20</v>
      </c>
      <c r="AE6" s="531">
        <v>23</v>
      </c>
      <c r="AF6" s="531">
        <v>17.7</v>
      </c>
      <c r="AG6" s="532" t="s">
        <v>680</v>
      </c>
    </row>
    <row r="7" spans="1:33" x14ac:dyDescent="0.2">
      <c r="A7" s="110">
        <f t="shared" si="12"/>
        <v>425</v>
      </c>
      <c r="B7" s="42">
        <f t="shared" si="13"/>
        <v>25</v>
      </c>
      <c r="C7" s="112">
        <f t="shared" si="0"/>
        <v>24.921199999999999</v>
      </c>
      <c r="D7" s="112">
        <f t="shared" si="1"/>
        <v>22.2043</v>
      </c>
      <c r="E7" s="112">
        <f t="shared" si="2"/>
        <v>20.154699999999998</v>
      </c>
      <c r="F7" s="112">
        <f t="shared" si="3"/>
        <v>16.692900000000002</v>
      </c>
      <c r="G7" s="112">
        <f t="shared" si="4"/>
        <v>12.6128</v>
      </c>
      <c r="H7" s="112">
        <f t="shared" si="5"/>
        <v>10.7502</v>
      </c>
      <c r="I7" s="112">
        <f t="shared" si="6"/>
        <v>11.982100000000001</v>
      </c>
      <c r="J7" s="112">
        <f t="shared" si="7"/>
        <v>13.751899999999999</v>
      </c>
      <c r="K7" s="112">
        <f t="shared" si="8"/>
        <v>17.049600000000002</v>
      </c>
      <c r="L7" s="112">
        <f t="shared" si="9"/>
        <v>20.148199999999999</v>
      </c>
      <c r="M7" s="112">
        <f t="shared" si="10"/>
        <v>23.204799999999999</v>
      </c>
      <c r="N7" s="112">
        <f t="shared" si="11"/>
        <v>24.276399999999999</v>
      </c>
      <c r="P7" s="41" t="s">
        <v>580</v>
      </c>
      <c r="Q7" s="41">
        <v>6</v>
      </c>
      <c r="R7" s="40" t="s">
        <v>635</v>
      </c>
      <c r="S7" s="528" t="s">
        <v>580</v>
      </c>
      <c r="T7" s="531">
        <f>(T17+T13)/2</f>
        <v>23.875</v>
      </c>
      <c r="U7" s="531">
        <f t="shared" ref="U7:AF7" si="14">(U17+U13)/2</f>
        <v>23.05</v>
      </c>
      <c r="V7" s="531">
        <f t="shared" si="14"/>
        <v>21.05</v>
      </c>
      <c r="W7" s="531">
        <f t="shared" si="14"/>
        <v>17.574999999999999</v>
      </c>
      <c r="X7" s="531">
        <f t="shared" si="14"/>
        <v>14.350000000000001</v>
      </c>
      <c r="Y7" s="531">
        <f t="shared" si="14"/>
        <v>11.324999999999999</v>
      </c>
      <c r="Z7" s="531">
        <f t="shared" si="14"/>
        <v>11.25</v>
      </c>
      <c r="AA7" s="531">
        <f t="shared" si="14"/>
        <v>12.175000000000001</v>
      </c>
      <c r="AB7" s="531">
        <f t="shared" si="14"/>
        <v>13.95</v>
      </c>
      <c r="AC7" s="531">
        <f t="shared" si="14"/>
        <v>16.7</v>
      </c>
      <c r="AD7" s="531">
        <f t="shared" si="14"/>
        <v>19.5</v>
      </c>
      <c r="AE7" s="531">
        <f t="shared" si="14"/>
        <v>22.325000000000003</v>
      </c>
      <c r="AF7" s="531">
        <f t="shared" si="14"/>
        <v>17.274999999999999</v>
      </c>
      <c r="AG7" s="532" t="s">
        <v>690</v>
      </c>
    </row>
    <row r="8" spans="1:33" x14ac:dyDescent="0.2">
      <c r="A8" s="110">
        <f t="shared" si="12"/>
        <v>430</v>
      </c>
      <c r="B8" s="42">
        <f t="shared" si="13"/>
        <v>30</v>
      </c>
      <c r="C8" s="112">
        <f t="shared" si="0"/>
        <v>24.185700000000001</v>
      </c>
      <c r="D8" s="112">
        <f t="shared" si="1"/>
        <v>21.8843</v>
      </c>
      <c r="E8" s="112">
        <f t="shared" si="2"/>
        <v>20.2315</v>
      </c>
      <c r="F8" s="112">
        <f t="shared" si="3"/>
        <v>17.0596</v>
      </c>
      <c r="G8" s="112">
        <f t="shared" si="4"/>
        <v>13.044600000000001</v>
      </c>
      <c r="H8" s="112">
        <f t="shared" si="5"/>
        <v>11.1843</v>
      </c>
      <c r="I8" s="112">
        <f t="shared" si="6"/>
        <v>12.4764</v>
      </c>
      <c r="J8" s="112">
        <f t="shared" si="7"/>
        <v>14.1128</v>
      </c>
      <c r="K8" s="112">
        <f t="shared" si="8"/>
        <v>17.233799999999999</v>
      </c>
      <c r="L8" s="112">
        <f t="shared" si="9"/>
        <v>20.0031</v>
      </c>
      <c r="M8" s="112">
        <f t="shared" si="10"/>
        <v>22.669499999999999</v>
      </c>
      <c r="N8" s="112">
        <f t="shared" si="11"/>
        <v>23.4938</v>
      </c>
      <c r="P8" s="41" t="s">
        <v>581</v>
      </c>
      <c r="Q8" s="41">
        <v>7</v>
      </c>
      <c r="R8" s="40" t="s">
        <v>599</v>
      </c>
      <c r="S8" s="528" t="s">
        <v>581</v>
      </c>
      <c r="T8" s="531">
        <f>(T6+T11)/2</f>
        <v>23.65</v>
      </c>
      <c r="U8" s="531">
        <f t="shared" ref="U8:AF8" si="15">(U6+U11)/2</f>
        <v>23</v>
      </c>
      <c r="V8" s="531">
        <f t="shared" si="15"/>
        <v>21.05</v>
      </c>
      <c r="W8" s="531">
        <f t="shared" si="15"/>
        <v>17.45</v>
      </c>
      <c r="X8" s="531">
        <f t="shared" si="15"/>
        <v>14.25</v>
      </c>
      <c r="Y8" s="531">
        <f t="shared" si="15"/>
        <v>11.25</v>
      </c>
      <c r="Z8" s="531">
        <f t="shared" si="15"/>
        <v>11.05</v>
      </c>
      <c r="AA8" s="531">
        <f t="shared" si="15"/>
        <v>12</v>
      </c>
      <c r="AB8" s="531">
        <f t="shared" si="15"/>
        <v>13.75</v>
      </c>
      <c r="AC8" s="531">
        <f t="shared" si="15"/>
        <v>16.5</v>
      </c>
      <c r="AD8" s="531">
        <f t="shared" si="15"/>
        <v>19.149999999999999</v>
      </c>
      <c r="AE8" s="531">
        <f t="shared" si="15"/>
        <v>22.05</v>
      </c>
      <c r="AF8" s="531">
        <f t="shared" si="15"/>
        <v>17.100000000000001</v>
      </c>
      <c r="AG8" s="532" t="s">
        <v>689</v>
      </c>
    </row>
    <row r="9" spans="1:33" x14ac:dyDescent="0.2">
      <c r="A9" s="110">
        <f t="shared" si="12"/>
        <v>435</v>
      </c>
      <c r="B9" s="42">
        <f t="shared" si="13"/>
        <v>35</v>
      </c>
      <c r="C9" s="112">
        <f t="shared" si="0"/>
        <v>23.323499999999999</v>
      </c>
      <c r="D9" s="112">
        <f t="shared" si="1"/>
        <v>21.435600000000001</v>
      </c>
      <c r="E9" s="112">
        <f t="shared" si="2"/>
        <v>20.1845</v>
      </c>
      <c r="F9" s="112">
        <f t="shared" si="3"/>
        <v>17.320900000000002</v>
      </c>
      <c r="G9" s="112">
        <f t="shared" si="4"/>
        <v>13.3969</v>
      </c>
      <c r="H9" s="112">
        <f t="shared" si="5"/>
        <v>11.5505</v>
      </c>
      <c r="I9" s="112">
        <f t="shared" si="6"/>
        <v>12.8927</v>
      </c>
      <c r="J9" s="112">
        <f t="shared" si="7"/>
        <v>14.388299999999999</v>
      </c>
      <c r="K9" s="112">
        <f t="shared" si="8"/>
        <v>17.313700000000001</v>
      </c>
      <c r="L9" s="112">
        <f t="shared" si="9"/>
        <v>19.738499999999998</v>
      </c>
      <c r="M9" s="112">
        <f t="shared" si="10"/>
        <v>21.9985</v>
      </c>
      <c r="N9" s="112">
        <f t="shared" si="11"/>
        <v>22.586300000000001</v>
      </c>
      <c r="P9" s="41" t="s">
        <v>582</v>
      </c>
      <c r="Q9" s="41">
        <v>8</v>
      </c>
      <c r="R9" s="40" t="s">
        <v>600</v>
      </c>
      <c r="S9" s="528" t="s">
        <v>582</v>
      </c>
      <c r="T9" s="531">
        <f>(T11+T20)/2</f>
        <v>22.799999999999997</v>
      </c>
      <c r="U9" s="531">
        <f t="shared" ref="U9:AF9" si="16">(U11+U20)/2</f>
        <v>22.4</v>
      </c>
      <c r="V9" s="531">
        <f t="shared" si="16"/>
        <v>20.55</v>
      </c>
      <c r="W9" s="531">
        <f t="shared" si="16"/>
        <v>17.2</v>
      </c>
      <c r="X9" s="531">
        <f t="shared" si="16"/>
        <v>13.9</v>
      </c>
      <c r="Y9" s="531">
        <f t="shared" si="16"/>
        <v>11.1</v>
      </c>
      <c r="Z9" s="531">
        <f t="shared" si="16"/>
        <v>11</v>
      </c>
      <c r="AA9" s="531">
        <f t="shared" si="16"/>
        <v>11.85</v>
      </c>
      <c r="AB9" s="531">
        <f t="shared" si="16"/>
        <v>13.5</v>
      </c>
      <c r="AC9" s="531">
        <f t="shared" si="16"/>
        <v>16</v>
      </c>
      <c r="AD9" s="531">
        <f t="shared" si="16"/>
        <v>18.5</v>
      </c>
      <c r="AE9" s="531">
        <f t="shared" si="16"/>
        <v>21.3</v>
      </c>
      <c r="AF9" s="531">
        <f t="shared" si="16"/>
        <v>16.649999999999999</v>
      </c>
      <c r="AG9" s="532" t="s">
        <v>688</v>
      </c>
    </row>
    <row r="10" spans="1:33" x14ac:dyDescent="0.2">
      <c r="A10" s="110">
        <f t="shared" si="12"/>
        <v>440</v>
      </c>
      <c r="B10" s="42">
        <f t="shared" si="13"/>
        <v>40</v>
      </c>
      <c r="C10" s="112">
        <f t="shared" si="0"/>
        <v>22.37</v>
      </c>
      <c r="D10" s="112">
        <f t="shared" si="1"/>
        <v>20.864599999999999</v>
      </c>
      <c r="E10" s="112">
        <f t="shared" si="2"/>
        <v>20.013999999999999</v>
      </c>
      <c r="F10" s="112">
        <f t="shared" si="3"/>
        <v>17.474900000000002</v>
      </c>
      <c r="G10" s="112">
        <f t="shared" si="4"/>
        <v>13.666700000000001</v>
      </c>
      <c r="H10" s="112">
        <f t="shared" si="5"/>
        <v>11.8459</v>
      </c>
      <c r="I10" s="112">
        <f t="shared" si="6"/>
        <v>13.223000000000001</v>
      </c>
      <c r="J10" s="112">
        <f t="shared" si="7"/>
        <v>14.5763</v>
      </c>
      <c r="K10" s="112">
        <f t="shared" si="8"/>
        <v>17.288699999999999</v>
      </c>
      <c r="L10" s="112">
        <f t="shared" si="9"/>
        <v>19.356200000000001</v>
      </c>
      <c r="M10" s="112">
        <f t="shared" si="10"/>
        <v>21.197199999999999</v>
      </c>
      <c r="N10" s="112">
        <f t="shared" si="11"/>
        <v>21.548100000000002</v>
      </c>
      <c r="P10" s="41" t="s">
        <v>583</v>
      </c>
      <c r="Q10" s="41">
        <v>9</v>
      </c>
      <c r="R10" s="40" t="s">
        <v>601</v>
      </c>
      <c r="S10" s="528" t="s">
        <v>583</v>
      </c>
      <c r="T10" s="531">
        <f>(T15+T11)/2</f>
        <v>22.2</v>
      </c>
      <c r="U10" s="531">
        <f t="shared" ref="U10:AF10" si="17">(U15+U11)/2</f>
        <v>21.9</v>
      </c>
      <c r="V10" s="531">
        <f t="shared" si="17"/>
        <v>20.2</v>
      </c>
      <c r="W10" s="531">
        <f t="shared" si="17"/>
        <v>16.899999999999999</v>
      </c>
      <c r="X10" s="531">
        <f t="shared" si="17"/>
        <v>13.8</v>
      </c>
      <c r="Y10" s="531">
        <f t="shared" si="17"/>
        <v>11.05</v>
      </c>
      <c r="Z10" s="531">
        <f t="shared" si="17"/>
        <v>10.8</v>
      </c>
      <c r="AA10" s="531">
        <f t="shared" si="17"/>
        <v>11.45</v>
      </c>
      <c r="AB10" s="531">
        <f t="shared" si="17"/>
        <v>12.95</v>
      </c>
      <c r="AC10" s="531">
        <f t="shared" si="17"/>
        <v>15.399999999999999</v>
      </c>
      <c r="AD10" s="531">
        <f t="shared" si="17"/>
        <v>17.950000000000003</v>
      </c>
      <c r="AE10" s="531">
        <f t="shared" si="17"/>
        <v>20.65</v>
      </c>
      <c r="AF10" s="531">
        <f t="shared" si="17"/>
        <v>16.25</v>
      </c>
      <c r="AG10" s="532" t="s">
        <v>685</v>
      </c>
    </row>
    <row r="11" spans="1:33" x14ac:dyDescent="0.2">
      <c r="A11" s="110">
        <f t="shared" si="12"/>
        <v>445</v>
      </c>
      <c r="B11" s="42">
        <f t="shared" si="13"/>
        <v>45</v>
      </c>
      <c r="C11" s="112">
        <f t="shared" si="0"/>
        <v>21.2913</v>
      </c>
      <c r="D11" s="112">
        <f t="shared" si="1"/>
        <v>20.177399999999999</v>
      </c>
      <c r="E11" s="112">
        <f t="shared" si="2"/>
        <v>19.7212</v>
      </c>
      <c r="F11" s="112">
        <f t="shared" si="3"/>
        <v>17.520399999999999</v>
      </c>
      <c r="G11" s="112">
        <f t="shared" si="4"/>
        <v>13.8497</v>
      </c>
      <c r="H11" s="112">
        <f t="shared" si="5"/>
        <v>12.0603</v>
      </c>
      <c r="I11" s="112">
        <f t="shared" si="6"/>
        <v>13.461600000000001</v>
      </c>
      <c r="J11" s="112">
        <f t="shared" si="7"/>
        <v>14.6753</v>
      </c>
      <c r="K11" s="112">
        <f t="shared" si="8"/>
        <v>17.159099999999999</v>
      </c>
      <c r="L11" s="112">
        <f t="shared" si="9"/>
        <v>18.859300000000001</v>
      </c>
      <c r="M11" s="112">
        <f t="shared" si="10"/>
        <v>20.2715</v>
      </c>
      <c r="N11" s="112">
        <f t="shared" si="11"/>
        <v>20.4086</v>
      </c>
      <c r="P11" s="41" t="s">
        <v>584</v>
      </c>
      <c r="Q11" s="41">
        <v>10</v>
      </c>
      <c r="R11" s="40" t="s">
        <v>651</v>
      </c>
      <c r="S11" s="528" t="s">
        <v>584</v>
      </c>
      <c r="T11" s="531">
        <v>22.7</v>
      </c>
      <c r="U11" s="531">
        <v>22.3</v>
      </c>
      <c r="V11" s="531">
        <v>20.5</v>
      </c>
      <c r="W11" s="531">
        <v>17.2</v>
      </c>
      <c r="X11" s="531">
        <v>13.9</v>
      </c>
      <c r="Y11" s="531">
        <v>11</v>
      </c>
      <c r="Z11" s="531">
        <v>10.7</v>
      </c>
      <c r="AA11" s="531">
        <v>11.5</v>
      </c>
      <c r="AB11" s="531">
        <v>13.2</v>
      </c>
      <c r="AC11" s="531">
        <v>15.7</v>
      </c>
      <c r="AD11" s="531">
        <v>18.3</v>
      </c>
      <c r="AE11" s="531">
        <v>21.1</v>
      </c>
      <c r="AF11" s="531">
        <v>16.5</v>
      </c>
      <c r="AG11" s="532" t="s">
        <v>684</v>
      </c>
    </row>
    <row r="12" spans="1:33" x14ac:dyDescent="0.2">
      <c r="A12" s="110">
        <f t="shared" si="12"/>
        <v>450</v>
      </c>
      <c r="B12" s="42">
        <f t="shared" si="13"/>
        <v>50</v>
      </c>
      <c r="C12" s="112">
        <f t="shared" si="0"/>
        <v>20.0883</v>
      </c>
      <c r="D12" s="112">
        <f t="shared" si="1"/>
        <v>19.372699999999998</v>
      </c>
      <c r="E12" s="112">
        <f t="shared" si="2"/>
        <v>19.308499999999999</v>
      </c>
      <c r="F12" s="112">
        <f t="shared" si="3"/>
        <v>17.457100000000001</v>
      </c>
      <c r="G12" s="112">
        <f t="shared" si="4"/>
        <v>13.944900000000001</v>
      </c>
      <c r="H12" s="112">
        <f t="shared" si="5"/>
        <v>12.1942</v>
      </c>
      <c r="I12" s="112">
        <f t="shared" si="6"/>
        <v>13.6084</v>
      </c>
      <c r="J12" s="112">
        <f t="shared" si="7"/>
        <v>14.684699999999999</v>
      </c>
      <c r="K12" s="112">
        <f t="shared" si="8"/>
        <v>16.925899999999999</v>
      </c>
      <c r="L12" s="112">
        <f t="shared" si="9"/>
        <v>18.2515</v>
      </c>
      <c r="M12" s="112">
        <f t="shared" si="10"/>
        <v>19.232800000000001</v>
      </c>
      <c r="N12" s="112">
        <f t="shared" si="11"/>
        <v>19.172499999999999</v>
      </c>
      <c r="P12" s="41" t="s">
        <v>585</v>
      </c>
      <c r="Q12" s="41">
        <v>11</v>
      </c>
      <c r="R12" s="40" t="s">
        <v>602</v>
      </c>
      <c r="S12" s="528" t="s">
        <v>585</v>
      </c>
      <c r="T12" s="529">
        <v>24.8</v>
      </c>
      <c r="U12" s="529">
        <v>23.7</v>
      </c>
      <c r="V12" s="529">
        <v>21.6</v>
      </c>
      <c r="W12" s="529">
        <v>18</v>
      </c>
      <c r="X12" s="529">
        <v>14.8</v>
      </c>
      <c r="Y12" s="529">
        <v>11.7</v>
      </c>
      <c r="Z12" s="529">
        <v>11.8</v>
      </c>
      <c r="AA12" s="529">
        <v>12.9</v>
      </c>
      <c r="AB12" s="529">
        <v>14.6</v>
      </c>
      <c r="AC12" s="529">
        <v>17.5</v>
      </c>
      <c r="AD12" s="529">
        <v>20.399999999999999</v>
      </c>
      <c r="AE12" s="529">
        <v>23.1</v>
      </c>
      <c r="AF12" s="529">
        <v>17.899999999999999</v>
      </c>
      <c r="AG12" s="530" t="s">
        <v>678</v>
      </c>
    </row>
    <row r="13" spans="1:33" x14ac:dyDescent="0.2">
      <c r="A13" s="110">
        <f t="shared" si="12"/>
        <v>455</v>
      </c>
      <c r="B13" s="42">
        <f t="shared" si="13"/>
        <v>55</v>
      </c>
      <c r="C13" s="112">
        <f t="shared" si="0"/>
        <v>18.770199999999999</v>
      </c>
      <c r="D13" s="112">
        <f t="shared" si="1"/>
        <v>18.456700000000001</v>
      </c>
      <c r="E13" s="112">
        <f t="shared" si="2"/>
        <v>18.7789</v>
      </c>
      <c r="F13" s="112">
        <f t="shared" si="3"/>
        <v>17.285399999999999</v>
      </c>
      <c r="G13" s="112">
        <f t="shared" si="4"/>
        <v>13.9534</v>
      </c>
      <c r="H13" s="112">
        <f t="shared" si="5"/>
        <v>12.2523</v>
      </c>
      <c r="I13" s="112">
        <f t="shared" si="6"/>
        <v>13.667999999999999</v>
      </c>
      <c r="J13" s="112">
        <f t="shared" si="7"/>
        <v>14.604200000000001</v>
      </c>
      <c r="K13" s="112">
        <f t="shared" si="8"/>
        <v>16.590699999999998</v>
      </c>
      <c r="L13" s="112">
        <f t="shared" si="9"/>
        <v>17.537400000000002</v>
      </c>
      <c r="M13" s="112">
        <f t="shared" si="10"/>
        <v>18.101600000000001</v>
      </c>
      <c r="N13" s="112">
        <f t="shared" si="11"/>
        <v>17.8308</v>
      </c>
      <c r="P13" s="41" t="s">
        <v>593</v>
      </c>
      <c r="Q13" s="41">
        <v>12</v>
      </c>
      <c r="R13" s="40" t="s">
        <v>609</v>
      </c>
      <c r="S13" s="528" t="s">
        <v>593</v>
      </c>
      <c r="T13" s="531">
        <f>(T12+T18)/2</f>
        <v>24.55</v>
      </c>
      <c r="U13" s="531">
        <f t="shared" ref="U13:AF13" si="18">(U12+U18)/2</f>
        <v>23.5</v>
      </c>
      <c r="V13" s="531">
        <f t="shared" si="18"/>
        <v>21.25</v>
      </c>
      <c r="W13" s="531">
        <f t="shared" si="18"/>
        <v>17.600000000000001</v>
      </c>
      <c r="X13" s="531">
        <f t="shared" si="18"/>
        <v>14.350000000000001</v>
      </c>
      <c r="Y13" s="531">
        <f t="shared" si="18"/>
        <v>11.3</v>
      </c>
      <c r="Z13" s="531">
        <f t="shared" si="18"/>
        <v>11.45</v>
      </c>
      <c r="AA13" s="531">
        <f t="shared" si="18"/>
        <v>12.5</v>
      </c>
      <c r="AB13" s="531">
        <f t="shared" si="18"/>
        <v>14.25</v>
      </c>
      <c r="AC13" s="531">
        <f t="shared" si="18"/>
        <v>17.149999999999999</v>
      </c>
      <c r="AD13" s="531">
        <f t="shared" si="18"/>
        <v>20.100000000000001</v>
      </c>
      <c r="AE13" s="531">
        <f t="shared" si="18"/>
        <v>22.950000000000003</v>
      </c>
      <c r="AF13" s="531">
        <f t="shared" si="18"/>
        <v>17.600000000000001</v>
      </c>
      <c r="AG13" s="532" t="s">
        <v>687</v>
      </c>
    </row>
    <row r="14" spans="1:33" x14ac:dyDescent="0.2">
      <c r="A14" s="110">
        <f t="shared" si="12"/>
        <v>460</v>
      </c>
      <c r="B14" s="42">
        <f t="shared" si="13"/>
        <v>60</v>
      </c>
      <c r="C14" s="112">
        <f t="shared" si="0"/>
        <v>17.347000000000001</v>
      </c>
      <c r="D14" s="112">
        <f t="shared" si="1"/>
        <v>17.436299999999999</v>
      </c>
      <c r="E14" s="112">
        <f t="shared" si="2"/>
        <v>18.136500000000002</v>
      </c>
      <c r="F14" s="112">
        <f t="shared" si="3"/>
        <v>17.006699999999999</v>
      </c>
      <c r="G14" s="112">
        <f t="shared" si="4"/>
        <v>13.875999999999999</v>
      </c>
      <c r="H14" s="112">
        <f t="shared" si="5"/>
        <v>12.2362</v>
      </c>
      <c r="I14" s="112">
        <f t="shared" si="6"/>
        <v>13.643000000000001</v>
      </c>
      <c r="J14" s="112">
        <f t="shared" si="7"/>
        <v>14.4346</v>
      </c>
      <c r="K14" s="112">
        <f t="shared" si="8"/>
        <v>16.156199999999998</v>
      </c>
      <c r="L14" s="112">
        <f t="shared" si="9"/>
        <v>16.7227</v>
      </c>
      <c r="M14" s="112">
        <f t="shared" si="10"/>
        <v>16.891100000000002</v>
      </c>
      <c r="N14" s="112">
        <f t="shared" si="11"/>
        <v>16.4039</v>
      </c>
      <c r="P14" s="41" t="s">
        <v>586</v>
      </c>
      <c r="Q14" s="41">
        <v>13</v>
      </c>
      <c r="R14" s="40" t="s">
        <v>603</v>
      </c>
      <c r="S14" s="528" t="s">
        <v>586</v>
      </c>
      <c r="T14" s="529">
        <v>24.1</v>
      </c>
      <c r="U14" s="529">
        <v>23.5</v>
      </c>
      <c r="V14" s="529">
        <v>21.6</v>
      </c>
      <c r="W14" s="529">
        <v>18.100000000000001</v>
      </c>
      <c r="X14" s="529">
        <v>15.3</v>
      </c>
      <c r="Y14" s="529">
        <v>12.3</v>
      </c>
      <c r="Z14" s="529">
        <v>12.3</v>
      </c>
      <c r="AA14" s="529">
        <v>13.4</v>
      </c>
      <c r="AB14" s="529">
        <v>15</v>
      </c>
      <c r="AC14" s="529">
        <v>17.899999999999999</v>
      </c>
      <c r="AD14" s="529">
        <v>20.5</v>
      </c>
      <c r="AE14" s="529">
        <v>22.8</v>
      </c>
      <c r="AF14" s="529">
        <v>18.100000000000001</v>
      </c>
      <c r="AG14" s="530" t="s">
        <v>586</v>
      </c>
    </row>
    <row r="15" spans="1:33" x14ac:dyDescent="0.2">
      <c r="A15" s="110">
        <f t="shared" si="12"/>
        <v>465</v>
      </c>
      <c r="B15" s="42">
        <f t="shared" si="13"/>
        <v>65</v>
      </c>
      <c r="C15" s="112">
        <f t="shared" si="0"/>
        <v>15.8339</v>
      </c>
      <c r="D15" s="112">
        <f t="shared" si="1"/>
        <v>16.319400000000002</v>
      </c>
      <c r="E15" s="112">
        <f t="shared" si="2"/>
        <v>17.386199999999999</v>
      </c>
      <c r="F15" s="112">
        <f t="shared" si="3"/>
        <v>16.623000000000001</v>
      </c>
      <c r="G15" s="112">
        <f t="shared" si="4"/>
        <v>13.7136</v>
      </c>
      <c r="H15" s="112">
        <f t="shared" si="5"/>
        <v>12.1473</v>
      </c>
      <c r="I15" s="112">
        <f t="shared" si="6"/>
        <v>13.5352</v>
      </c>
      <c r="J15" s="112">
        <f t="shared" si="7"/>
        <v>14.177199999999999</v>
      </c>
      <c r="K15" s="112">
        <f t="shared" si="8"/>
        <v>15.6257</v>
      </c>
      <c r="L15" s="112">
        <f t="shared" si="9"/>
        <v>15.8178</v>
      </c>
      <c r="M15" s="112">
        <f t="shared" si="10"/>
        <v>15.619</v>
      </c>
      <c r="N15" s="112">
        <f t="shared" si="11"/>
        <v>14.939500000000001</v>
      </c>
      <c r="P15" s="41" t="s">
        <v>587</v>
      </c>
      <c r="Q15" s="41">
        <v>14</v>
      </c>
      <c r="R15" s="40" t="s">
        <v>604</v>
      </c>
      <c r="S15" s="528" t="s">
        <v>587</v>
      </c>
      <c r="T15" s="529">
        <v>21.7</v>
      </c>
      <c r="U15" s="529">
        <v>21.5</v>
      </c>
      <c r="V15" s="529">
        <v>19.899999999999999</v>
      </c>
      <c r="W15" s="529">
        <v>16.600000000000001</v>
      </c>
      <c r="X15" s="529">
        <v>13.7</v>
      </c>
      <c r="Y15" s="529">
        <v>11.1</v>
      </c>
      <c r="Z15" s="529">
        <v>10.9</v>
      </c>
      <c r="AA15" s="529">
        <v>11.4</v>
      </c>
      <c r="AB15" s="529">
        <v>12.7</v>
      </c>
      <c r="AC15" s="529">
        <v>15.1</v>
      </c>
      <c r="AD15" s="529">
        <v>17.600000000000001</v>
      </c>
      <c r="AE15" s="529">
        <v>20.2</v>
      </c>
      <c r="AF15" s="529">
        <v>16</v>
      </c>
      <c r="AG15" s="530" t="s">
        <v>683</v>
      </c>
    </row>
    <row r="16" spans="1:33" x14ac:dyDescent="0.2">
      <c r="A16" s="110">
        <f t="shared" si="12"/>
        <v>470</v>
      </c>
      <c r="B16" s="42">
        <f t="shared" si="13"/>
        <v>70</v>
      </c>
      <c r="C16" s="112">
        <f t="shared" si="0"/>
        <v>14.2896</v>
      </c>
      <c r="D16" s="112">
        <f t="shared" si="1"/>
        <v>15.1144</v>
      </c>
      <c r="E16" s="112">
        <f t="shared" si="2"/>
        <v>16.5337</v>
      </c>
      <c r="F16" s="112">
        <f t="shared" si="3"/>
        <v>16.1374</v>
      </c>
      <c r="G16" s="112">
        <f t="shared" si="4"/>
        <v>13.468</v>
      </c>
      <c r="H16" s="112">
        <f t="shared" si="5"/>
        <v>11.9869</v>
      </c>
      <c r="I16" s="112">
        <f t="shared" si="6"/>
        <v>13.346299999999999</v>
      </c>
      <c r="J16" s="112">
        <f t="shared" si="7"/>
        <v>13.8338</v>
      </c>
      <c r="K16" s="112">
        <f t="shared" si="8"/>
        <v>15.0032</v>
      </c>
      <c r="L16" s="112">
        <f t="shared" si="9"/>
        <v>14.832599999999999</v>
      </c>
      <c r="M16" s="112">
        <f t="shared" si="10"/>
        <v>14.270899999999999</v>
      </c>
      <c r="N16" s="112">
        <f t="shared" si="11"/>
        <v>13.414300000000001</v>
      </c>
      <c r="P16" s="41" t="s">
        <v>588</v>
      </c>
      <c r="Q16" s="41">
        <v>15</v>
      </c>
      <c r="R16" s="40" t="s">
        <v>605</v>
      </c>
      <c r="S16" s="528" t="s">
        <v>588</v>
      </c>
      <c r="T16" s="529">
        <v>25</v>
      </c>
      <c r="U16" s="529">
        <v>23.9</v>
      </c>
      <c r="V16" s="529">
        <v>21.6</v>
      </c>
      <c r="W16" s="529">
        <v>18.100000000000001</v>
      </c>
      <c r="X16" s="529">
        <v>15</v>
      </c>
      <c r="Y16" s="529">
        <v>11.7</v>
      </c>
      <c r="Z16" s="529">
        <v>12</v>
      </c>
      <c r="AA16" s="529">
        <v>13.2</v>
      </c>
      <c r="AB16" s="529">
        <v>14.9</v>
      </c>
      <c r="AC16" s="529">
        <v>18</v>
      </c>
      <c r="AD16" s="529">
        <v>20.7</v>
      </c>
      <c r="AE16" s="529">
        <v>23.5</v>
      </c>
      <c r="AF16" s="529">
        <v>18.100000000000001</v>
      </c>
      <c r="AG16" s="530" t="s">
        <v>677</v>
      </c>
    </row>
    <row r="17" spans="1:33" x14ac:dyDescent="0.2">
      <c r="A17" s="110">
        <f t="shared" si="12"/>
        <v>475</v>
      </c>
      <c r="B17" s="42">
        <f t="shared" si="13"/>
        <v>75</v>
      </c>
      <c r="C17" s="112">
        <f t="shared" si="0"/>
        <v>12.754099999999999</v>
      </c>
      <c r="D17" s="112">
        <f t="shared" si="1"/>
        <v>13.8352</v>
      </c>
      <c r="E17" s="112">
        <f t="shared" si="2"/>
        <v>15.5854</v>
      </c>
      <c r="F17" s="112">
        <f t="shared" si="3"/>
        <v>15.5534</v>
      </c>
      <c r="G17" s="112">
        <f t="shared" si="4"/>
        <v>13.141</v>
      </c>
      <c r="H17" s="112">
        <f t="shared" si="5"/>
        <v>11.7562</v>
      </c>
      <c r="I17" s="112">
        <f t="shared" si="6"/>
        <v>13.078200000000001</v>
      </c>
      <c r="J17" s="112">
        <f t="shared" si="7"/>
        <v>13.4071</v>
      </c>
      <c r="K17" s="112">
        <f t="shared" si="8"/>
        <v>14.2934</v>
      </c>
      <c r="L17" s="112">
        <f t="shared" si="9"/>
        <v>13.773300000000001</v>
      </c>
      <c r="M17" s="112">
        <f t="shared" si="10"/>
        <v>12.8512</v>
      </c>
      <c r="N17" s="112">
        <f t="shared" si="11"/>
        <v>11.882400000000001</v>
      </c>
      <c r="P17" s="41" t="s">
        <v>589</v>
      </c>
      <c r="Q17" s="41">
        <v>16</v>
      </c>
      <c r="R17" s="40" t="s">
        <v>610</v>
      </c>
      <c r="S17" s="528" t="s">
        <v>589</v>
      </c>
      <c r="T17" s="531">
        <f>(T5+T11)/2</f>
        <v>23.2</v>
      </c>
      <c r="U17" s="531">
        <f t="shared" ref="U17:AF17" si="19">(U5+U11)/2</f>
        <v>22.6</v>
      </c>
      <c r="V17" s="531">
        <f t="shared" si="19"/>
        <v>20.85</v>
      </c>
      <c r="W17" s="531">
        <f t="shared" si="19"/>
        <v>17.549999999999997</v>
      </c>
      <c r="X17" s="531">
        <f t="shared" si="19"/>
        <v>14.350000000000001</v>
      </c>
      <c r="Y17" s="531">
        <f t="shared" si="19"/>
        <v>11.35</v>
      </c>
      <c r="Z17" s="531">
        <f t="shared" si="19"/>
        <v>11.05</v>
      </c>
      <c r="AA17" s="531">
        <f t="shared" si="19"/>
        <v>11.85</v>
      </c>
      <c r="AB17" s="531">
        <f t="shared" si="19"/>
        <v>13.649999999999999</v>
      </c>
      <c r="AC17" s="531">
        <f t="shared" si="19"/>
        <v>16.25</v>
      </c>
      <c r="AD17" s="531">
        <f t="shared" si="19"/>
        <v>18.899999999999999</v>
      </c>
      <c r="AE17" s="531">
        <f t="shared" si="19"/>
        <v>21.700000000000003</v>
      </c>
      <c r="AF17" s="531">
        <f t="shared" si="19"/>
        <v>16.95</v>
      </c>
      <c r="AG17" s="532" t="s">
        <v>686</v>
      </c>
    </row>
    <row r="18" spans="1:33" x14ac:dyDescent="0.2">
      <c r="A18" s="110">
        <f t="shared" si="12"/>
        <v>480</v>
      </c>
      <c r="B18" s="42">
        <f t="shared" si="13"/>
        <v>80</v>
      </c>
      <c r="C18" s="112">
        <f t="shared" si="0"/>
        <v>11.170199999999999</v>
      </c>
      <c r="D18" s="112">
        <f t="shared" si="1"/>
        <v>12.510199999999999</v>
      </c>
      <c r="E18" s="112">
        <f t="shared" si="2"/>
        <v>14.5487</v>
      </c>
      <c r="F18" s="112">
        <f t="shared" si="3"/>
        <v>14.8756</v>
      </c>
      <c r="G18" s="112">
        <f t="shared" si="4"/>
        <v>12.735099999999999</v>
      </c>
      <c r="H18" s="112">
        <f t="shared" si="5"/>
        <v>11.457000000000001</v>
      </c>
      <c r="I18" s="112">
        <f t="shared" si="6"/>
        <v>12.732699999999999</v>
      </c>
      <c r="J18" s="112">
        <f t="shared" si="7"/>
        <v>12.900399999999999</v>
      </c>
      <c r="K18" s="112">
        <f t="shared" si="8"/>
        <v>13.501799999999999</v>
      </c>
      <c r="L18" s="112">
        <f t="shared" si="9"/>
        <v>12.6454</v>
      </c>
      <c r="M18" s="112">
        <f t="shared" si="10"/>
        <v>11.3865</v>
      </c>
      <c r="N18" s="112">
        <f t="shared" si="11"/>
        <v>10.3232</v>
      </c>
      <c r="P18" s="41" t="s">
        <v>590</v>
      </c>
      <c r="Q18" s="41">
        <v>17</v>
      </c>
      <c r="R18" s="40" t="s">
        <v>606</v>
      </c>
      <c r="S18" s="528" t="s">
        <v>590</v>
      </c>
      <c r="T18" s="529">
        <v>24.3</v>
      </c>
      <c r="U18" s="529">
        <v>23.3</v>
      </c>
      <c r="V18" s="529">
        <v>20.9</v>
      </c>
      <c r="W18" s="529">
        <v>17.2</v>
      </c>
      <c r="X18" s="529">
        <v>13.9</v>
      </c>
      <c r="Y18" s="529">
        <v>10.9</v>
      </c>
      <c r="Z18" s="529">
        <v>11.1</v>
      </c>
      <c r="AA18" s="529">
        <v>12.1</v>
      </c>
      <c r="AB18" s="529">
        <v>13.9</v>
      </c>
      <c r="AC18" s="529">
        <v>16.8</v>
      </c>
      <c r="AD18" s="529">
        <v>19.8</v>
      </c>
      <c r="AE18" s="529">
        <v>22.8</v>
      </c>
      <c r="AF18" s="529">
        <v>17.3</v>
      </c>
      <c r="AG18" s="530" t="s">
        <v>682</v>
      </c>
    </row>
    <row r="19" spans="1:33" x14ac:dyDescent="0.2">
      <c r="A19" s="110">
        <f t="shared" si="12"/>
        <v>485</v>
      </c>
      <c r="B19" s="42">
        <f t="shared" si="13"/>
        <v>85</v>
      </c>
      <c r="C19" s="112">
        <f t="shared" si="0"/>
        <v>9.5509000000000004</v>
      </c>
      <c r="D19" s="112">
        <f t="shared" si="1"/>
        <v>11.151199999999999</v>
      </c>
      <c r="E19" s="112">
        <f t="shared" si="2"/>
        <v>13.4313</v>
      </c>
      <c r="F19" s="112">
        <f t="shared" si="3"/>
        <v>14.1091</v>
      </c>
      <c r="G19" s="112">
        <f t="shared" si="4"/>
        <v>12.2532</v>
      </c>
      <c r="H19" s="112">
        <f t="shared" si="5"/>
        <v>11.091200000000001</v>
      </c>
      <c r="I19" s="112">
        <f t="shared" si="6"/>
        <v>12.3117</v>
      </c>
      <c r="J19" s="112">
        <f t="shared" si="7"/>
        <v>12.317500000000001</v>
      </c>
      <c r="K19" s="112">
        <f t="shared" si="8"/>
        <v>12.6343</v>
      </c>
      <c r="L19" s="112">
        <f t="shared" si="9"/>
        <v>11.456200000000001</v>
      </c>
      <c r="M19" s="112">
        <f t="shared" si="10"/>
        <v>9.9228000000000005</v>
      </c>
      <c r="N19" s="112">
        <f t="shared" si="11"/>
        <v>8.8158999999999992</v>
      </c>
      <c r="P19" s="41" t="s">
        <v>591</v>
      </c>
      <c r="Q19" s="41">
        <v>18</v>
      </c>
      <c r="R19" s="40" t="s">
        <v>607</v>
      </c>
      <c r="S19" s="528" t="s">
        <v>591</v>
      </c>
      <c r="T19" s="529">
        <v>24.6</v>
      </c>
      <c r="U19" s="529">
        <v>23.7</v>
      </c>
      <c r="V19" s="529">
        <v>21.6</v>
      </c>
      <c r="W19" s="529">
        <v>17.7</v>
      </c>
      <c r="X19" s="529">
        <v>14.6</v>
      </c>
      <c r="Y19" s="529">
        <v>11.5</v>
      </c>
      <c r="Z19" s="529">
        <v>11.4</v>
      </c>
      <c r="AA19" s="529">
        <v>12.5</v>
      </c>
      <c r="AB19" s="529">
        <v>14.3</v>
      </c>
      <c r="AC19" s="529">
        <v>17.3</v>
      </c>
      <c r="AD19" s="529">
        <v>20</v>
      </c>
      <c r="AE19" s="529">
        <v>23</v>
      </c>
      <c r="AF19" s="529">
        <v>17.7</v>
      </c>
      <c r="AG19" s="530" t="s">
        <v>680</v>
      </c>
    </row>
    <row r="20" spans="1:33" x14ac:dyDescent="0.2">
      <c r="A20" s="110">
        <f t="shared" si="12"/>
        <v>490</v>
      </c>
      <c r="B20" s="42">
        <f t="shared" si="13"/>
        <v>90</v>
      </c>
      <c r="C20" s="112">
        <f t="shared" si="0"/>
        <v>0</v>
      </c>
      <c r="D20" s="112">
        <f t="shared" si="1"/>
        <v>0</v>
      </c>
      <c r="E20" s="112">
        <f t="shared" si="2"/>
        <v>0</v>
      </c>
      <c r="F20" s="112">
        <f t="shared" si="3"/>
        <v>0</v>
      </c>
      <c r="G20" s="112">
        <f t="shared" si="4"/>
        <v>0</v>
      </c>
      <c r="H20" s="112">
        <f t="shared" si="5"/>
        <v>0</v>
      </c>
      <c r="I20" s="112">
        <f t="shared" si="6"/>
        <v>0</v>
      </c>
      <c r="J20" s="112">
        <f t="shared" si="7"/>
        <v>0</v>
      </c>
      <c r="K20" s="112">
        <f t="shared" si="8"/>
        <v>0</v>
      </c>
      <c r="L20" s="112">
        <f t="shared" si="9"/>
        <v>0</v>
      </c>
      <c r="M20" s="112">
        <f t="shared" si="10"/>
        <v>0</v>
      </c>
      <c r="N20" s="112">
        <f t="shared" si="11"/>
        <v>0</v>
      </c>
      <c r="P20" s="41" t="s">
        <v>592</v>
      </c>
      <c r="Q20" s="41">
        <v>19</v>
      </c>
      <c r="R20" s="40" t="s">
        <v>611</v>
      </c>
      <c r="S20" s="533" t="s">
        <v>592</v>
      </c>
      <c r="T20" s="534">
        <v>22.9</v>
      </c>
      <c r="U20" s="534">
        <v>22.5</v>
      </c>
      <c r="V20" s="534">
        <v>20.6</v>
      </c>
      <c r="W20" s="534">
        <v>17.2</v>
      </c>
      <c r="X20" s="534">
        <v>13.9</v>
      </c>
      <c r="Y20" s="534">
        <v>11.2</v>
      </c>
      <c r="Z20" s="534">
        <v>11.3</v>
      </c>
      <c r="AA20" s="534">
        <v>12.2</v>
      </c>
      <c r="AB20" s="534">
        <v>13.8</v>
      </c>
      <c r="AC20" s="534">
        <v>16.3</v>
      </c>
      <c r="AD20" s="534">
        <v>18.7</v>
      </c>
      <c r="AE20" s="534">
        <v>21.5</v>
      </c>
      <c r="AF20" s="534">
        <v>16.8</v>
      </c>
      <c r="AG20" s="535" t="s">
        <v>681</v>
      </c>
    </row>
    <row r="21" spans="1:33" x14ac:dyDescent="0.2">
      <c r="A21" s="110">
        <f t="shared" si="12"/>
        <v>491</v>
      </c>
      <c r="B21" s="40">
        <v>91</v>
      </c>
      <c r="C21" s="112">
        <f t="shared" si="0"/>
        <v>23.7</v>
      </c>
      <c r="D21" s="112">
        <f t="shared" si="1"/>
        <v>22.9</v>
      </c>
      <c r="E21" s="112">
        <f t="shared" si="2"/>
        <v>21.2</v>
      </c>
      <c r="F21" s="112">
        <f t="shared" si="3"/>
        <v>17.899999999999999</v>
      </c>
      <c r="G21" s="112">
        <f t="shared" si="4"/>
        <v>14.8</v>
      </c>
      <c r="H21" s="112">
        <f t="shared" si="5"/>
        <v>11.7</v>
      </c>
      <c r="I21" s="112">
        <f t="shared" si="6"/>
        <v>11.4</v>
      </c>
      <c r="J21" s="112">
        <f t="shared" si="7"/>
        <v>12.2</v>
      </c>
      <c r="K21" s="112">
        <f t="shared" si="8"/>
        <v>14.1</v>
      </c>
      <c r="L21" s="112">
        <f t="shared" si="9"/>
        <v>16.8</v>
      </c>
      <c r="M21" s="112">
        <f t="shared" si="10"/>
        <v>19.5</v>
      </c>
      <c r="N21" s="112">
        <f t="shared" si="11"/>
        <v>22.3</v>
      </c>
      <c r="O21" s="41" t="s">
        <v>693</v>
      </c>
    </row>
    <row r="22" spans="1:33" x14ac:dyDescent="0.2">
      <c r="A22" s="110">
        <f t="shared" si="12"/>
        <v>492</v>
      </c>
      <c r="B22" s="40">
        <v>92</v>
      </c>
      <c r="C22" s="112">
        <f t="shared" si="0"/>
        <v>28.4</v>
      </c>
      <c r="D22" s="112">
        <f t="shared" si="1"/>
        <v>28.5</v>
      </c>
      <c r="E22" s="112">
        <f t="shared" si="2"/>
        <v>26.1</v>
      </c>
      <c r="F22" s="112">
        <f t="shared" si="3"/>
        <v>21.7</v>
      </c>
      <c r="G22" s="112">
        <f t="shared" si="4"/>
        <v>16.600000000000001</v>
      </c>
      <c r="H22" s="112">
        <f t="shared" si="5"/>
        <v>12</v>
      </c>
      <c r="I22" s="112">
        <f t="shared" si="6"/>
        <v>9.3000000000000007</v>
      </c>
      <c r="J22" s="112">
        <f t="shared" si="7"/>
        <v>9.1999999999999993</v>
      </c>
      <c r="K22" s="112">
        <f t="shared" si="8"/>
        <v>11.7</v>
      </c>
      <c r="L22" s="112">
        <f t="shared" si="9"/>
        <v>16.100000000000001</v>
      </c>
      <c r="M22" s="112">
        <f t="shared" si="10"/>
        <v>21.3</v>
      </c>
      <c r="N22" s="112">
        <f t="shared" si="11"/>
        <v>25.8</v>
      </c>
      <c r="O22" s="41" t="s">
        <v>694</v>
      </c>
    </row>
    <row r="25" spans="1:33" ht="15.75" x14ac:dyDescent="0.25">
      <c r="B25" s="89" t="s">
        <v>612</v>
      </c>
      <c r="C25"/>
      <c r="D25"/>
      <c r="E25"/>
      <c r="F25"/>
      <c r="G25" s="955" t="s">
        <v>613</v>
      </c>
      <c r="H25" s="955"/>
      <c r="I25" s="955"/>
      <c r="J25" s="955"/>
      <c r="K25" s="955"/>
      <c r="L25" s="955"/>
      <c r="M25" s="955"/>
      <c r="N25" s="955"/>
      <c r="O25" s="106">
        <v>1</v>
      </c>
      <c r="S25" s="539" t="s">
        <v>692</v>
      </c>
      <c r="T25" s="536" t="s">
        <v>4</v>
      </c>
      <c r="U25" s="536" t="s">
        <v>5</v>
      </c>
      <c r="V25" s="536" t="s">
        <v>6</v>
      </c>
      <c r="W25" s="536" t="s">
        <v>7</v>
      </c>
      <c r="X25" s="536" t="s">
        <v>8</v>
      </c>
      <c r="Y25" s="536" t="s">
        <v>9</v>
      </c>
      <c r="Z25" s="536" t="s">
        <v>10</v>
      </c>
      <c r="AA25" s="536" t="s">
        <v>11</v>
      </c>
      <c r="AB25" s="536" t="s">
        <v>675</v>
      </c>
      <c r="AC25" s="536" t="s">
        <v>13</v>
      </c>
      <c r="AD25" s="536" t="s">
        <v>14</v>
      </c>
      <c r="AE25" s="536" t="s">
        <v>15</v>
      </c>
      <c r="AF25" s="536" t="s">
        <v>676</v>
      </c>
      <c r="AG25" s="527"/>
    </row>
    <row r="26" spans="1:33" ht="15" x14ac:dyDescent="0.25">
      <c r="B26" t="s">
        <v>614</v>
      </c>
      <c r="C26" t="s">
        <v>615</v>
      </c>
      <c r="D26" t="s">
        <v>616</v>
      </c>
      <c r="E26" t="s">
        <v>617</v>
      </c>
      <c r="F26"/>
      <c r="G26" s="956" t="s">
        <v>618</v>
      </c>
      <c r="H26" s="956"/>
      <c r="I26" s="956"/>
      <c r="J26" s="956"/>
      <c r="K26" s="956"/>
      <c r="L26" s="956"/>
      <c r="M26" s="956"/>
      <c r="N26" s="956"/>
      <c r="O26" s="956"/>
      <c r="S26" s="528" t="s">
        <v>575</v>
      </c>
      <c r="T26" s="537">
        <v>28.4</v>
      </c>
      <c r="U26" s="537">
        <v>28.5</v>
      </c>
      <c r="V26" s="537">
        <v>26.1</v>
      </c>
      <c r="W26" s="537">
        <v>21.7</v>
      </c>
      <c r="X26" s="537">
        <v>16.600000000000001</v>
      </c>
      <c r="Y26" s="537">
        <v>12</v>
      </c>
      <c r="Z26" s="537">
        <v>9.3000000000000007</v>
      </c>
      <c r="AA26" s="537">
        <v>9.1999999999999993</v>
      </c>
      <c r="AB26" s="537">
        <v>11.7</v>
      </c>
      <c r="AC26" s="537">
        <v>16.100000000000001</v>
      </c>
      <c r="AD26" s="537">
        <v>21.3</v>
      </c>
      <c r="AE26" s="537">
        <v>25.8</v>
      </c>
      <c r="AF26" s="537"/>
      <c r="AG26" s="530"/>
    </row>
    <row r="27" spans="1:33" ht="15" x14ac:dyDescent="0.25">
      <c r="B27" s="90" t="s">
        <v>619</v>
      </c>
      <c r="C27" s="91" t="s">
        <v>4</v>
      </c>
      <c r="D27" s="91" t="s">
        <v>5</v>
      </c>
      <c r="E27" s="91" t="s">
        <v>6</v>
      </c>
      <c r="F27" s="91" t="s">
        <v>7</v>
      </c>
      <c r="G27" s="91" t="s">
        <v>8</v>
      </c>
      <c r="H27" s="91" t="s">
        <v>9</v>
      </c>
      <c r="I27" s="91" t="s">
        <v>10</v>
      </c>
      <c r="J27" s="91" t="s">
        <v>11</v>
      </c>
      <c r="K27" s="91" t="s">
        <v>12</v>
      </c>
      <c r="L27" s="91" t="s">
        <v>13</v>
      </c>
      <c r="M27" s="91" t="s">
        <v>14</v>
      </c>
      <c r="N27" s="91" t="s">
        <v>15</v>
      </c>
      <c r="O27" s="92" t="s">
        <v>620</v>
      </c>
      <c r="S27" s="528" t="s">
        <v>576</v>
      </c>
      <c r="T27" s="537">
        <v>28.4</v>
      </c>
      <c r="U27" s="537">
        <v>28.5</v>
      </c>
      <c r="V27" s="537">
        <v>26.1</v>
      </c>
      <c r="W27" s="537">
        <v>21.7</v>
      </c>
      <c r="X27" s="537">
        <v>16.600000000000001</v>
      </c>
      <c r="Y27" s="537">
        <v>12</v>
      </c>
      <c r="Z27" s="537">
        <v>9.3000000000000007</v>
      </c>
      <c r="AA27" s="537">
        <v>9.1999999999999993</v>
      </c>
      <c r="AB27" s="537">
        <v>11.7</v>
      </c>
      <c r="AC27" s="537">
        <v>16.100000000000001</v>
      </c>
      <c r="AD27" s="537">
        <v>21.3</v>
      </c>
      <c r="AE27" s="537">
        <v>25.8</v>
      </c>
      <c r="AF27" s="537"/>
      <c r="AG27" s="530"/>
    </row>
    <row r="28" spans="1:33" ht="15" x14ac:dyDescent="0.25">
      <c r="A28" s="40">
        <f>O$25*100+B28</f>
        <v>100</v>
      </c>
      <c r="B28" s="108">
        <v>0</v>
      </c>
      <c r="C28" s="93">
        <v>25.6069</v>
      </c>
      <c r="D28" s="94">
        <v>22.4404</v>
      </c>
      <c r="E28" s="94">
        <v>18.861799999999999</v>
      </c>
      <c r="F28" s="94">
        <v>14.321400000000001</v>
      </c>
      <c r="G28" s="94">
        <v>10.6899</v>
      </c>
      <c r="H28" s="94">
        <v>8.6941000000000006</v>
      </c>
      <c r="I28" s="94">
        <v>10.1716</v>
      </c>
      <c r="J28" s="94">
        <v>12.4297</v>
      </c>
      <c r="K28" s="94">
        <v>15.4825</v>
      </c>
      <c r="L28" s="94">
        <v>19.505400000000002</v>
      </c>
      <c r="M28" s="94">
        <v>23.614899999999999</v>
      </c>
      <c r="N28" s="95">
        <v>25.654199999999999</v>
      </c>
      <c r="O28" s="96">
        <v>17.266400000000001</v>
      </c>
      <c r="S28" s="528" t="s">
        <v>577</v>
      </c>
      <c r="T28" s="537">
        <v>28.4</v>
      </c>
      <c r="U28" s="537">
        <v>28.5</v>
      </c>
      <c r="V28" s="537">
        <v>26.1</v>
      </c>
      <c r="W28" s="537">
        <v>21.7</v>
      </c>
      <c r="X28" s="537">
        <v>16.600000000000001</v>
      </c>
      <c r="Y28" s="537">
        <v>12</v>
      </c>
      <c r="Z28" s="537">
        <v>9.3000000000000007</v>
      </c>
      <c r="AA28" s="537">
        <v>9.1999999999999993</v>
      </c>
      <c r="AB28" s="537">
        <v>11.7</v>
      </c>
      <c r="AC28" s="537">
        <v>16.100000000000001</v>
      </c>
      <c r="AD28" s="537">
        <v>21.3</v>
      </c>
      <c r="AE28" s="537">
        <v>25.8</v>
      </c>
      <c r="AF28" s="537"/>
      <c r="AG28" s="530"/>
    </row>
    <row r="29" spans="1:33" ht="15" x14ac:dyDescent="0.25">
      <c r="A29" s="40">
        <f t="shared" ref="A29:A48" si="20">O$25*100+B29</f>
        <v>105</v>
      </c>
      <c r="B29" s="108">
        <v>5</v>
      </c>
      <c r="C29" s="93">
        <v>25.5534</v>
      </c>
      <c r="D29" s="94">
        <v>22.722899999999999</v>
      </c>
      <c r="E29" s="94">
        <v>19.481100000000001</v>
      </c>
      <c r="F29" s="94">
        <v>15.135199999999999</v>
      </c>
      <c r="G29" s="94">
        <v>11.5076</v>
      </c>
      <c r="H29" s="94">
        <v>9.4657</v>
      </c>
      <c r="I29" s="94">
        <v>11.092000000000001</v>
      </c>
      <c r="J29" s="94">
        <v>13.2156</v>
      </c>
      <c r="K29" s="94">
        <v>16.115600000000001</v>
      </c>
      <c r="L29" s="94">
        <v>19.8933</v>
      </c>
      <c r="M29" s="94">
        <v>23.6965</v>
      </c>
      <c r="N29" s="95">
        <v>25.5274</v>
      </c>
      <c r="O29" s="96">
        <v>17.761700000000001</v>
      </c>
      <c r="S29" s="528" t="s">
        <v>578</v>
      </c>
      <c r="T29" s="537">
        <v>28.4</v>
      </c>
      <c r="U29" s="537">
        <v>28.5</v>
      </c>
      <c r="V29" s="537">
        <v>26.1</v>
      </c>
      <c r="W29" s="537">
        <v>21.7</v>
      </c>
      <c r="X29" s="537">
        <v>16.600000000000001</v>
      </c>
      <c r="Y29" s="537">
        <v>12</v>
      </c>
      <c r="Z29" s="537">
        <v>9.3000000000000007</v>
      </c>
      <c r="AA29" s="537">
        <v>9.1999999999999993</v>
      </c>
      <c r="AB29" s="537">
        <v>11.7</v>
      </c>
      <c r="AC29" s="537">
        <v>16.100000000000001</v>
      </c>
      <c r="AD29" s="537">
        <v>21.3</v>
      </c>
      <c r="AE29" s="537">
        <v>25.8</v>
      </c>
      <c r="AF29" s="537"/>
      <c r="AG29" s="530"/>
    </row>
    <row r="30" spans="1:33" ht="15" x14ac:dyDescent="0.25">
      <c r="A30" s="40">
        <f t="shared" si="20"/>
        <v>110</v>
      </c>
      <c r="B30" s="108">
        <v>10</v>
      </c>
      <c r="C30" s="93">
        <v>25.343</v>
      </c>
      <c r="D30" s="94">
        <v>22.869199999999999</v>
      </c>
      <c r="E30" s="94">
        <v>19.982299999999999</v>
      </c>
      <c r="F30" s="94">
        <v>15.858599999999999</v>
      </c>
      <c r="G30" s="94">
        <v>12.258599999999999</v>
      </c>
      <c r="H30" s="94">
        <v>10.1835</v>
      </c>
      <c r="I30" s="94">
        <v>11.946300000000001</v>
      </c>
      <c r="J30" s="94">
        <v>13.9244</v>
      </c>
      <c r="K30" s="94">
        <v>16.653400000000001</v>
      </c>
      <c r="L30" s="94">
        <v>20.161100000000001</v>
      </c>
      <c r="M30" s="94">
        <v>23.6328</v>
      </c>
      <c r="N30" s="95">
        <v>25.243300000000001</v>
      </c>
      <c r="O30" s="96">
        <v>18.150200000000002</v>
      </c>
      <c r="S30" s="528" t="s">
        <v>579</v>
      </c>
      <c r="T30" s="537">
        <v>28.4</v>
      </c>
      <c r="U30" s="537">
        <v>28.5</v>
      </c>
      <c r="V30" s="537">
        <v>26.1</v>
      </c>
      <c r="W30" s="537">
        <v>21.7</v>
      </c>
      <c r="X30" s="537">
        <v>16.600000000000001</v>
      </c>
      <c r="Y30" s="537">
        <v>12</v>
      </c>
      <c r="Z30" s="537">
        <v>9.3000000000000007</v>
      </c>
      <c r="AA30" s="537">
        <v>9.1999999999999993</v>
      </c>
      <c r="AB30" s="537">
        <v>11.7</v>
      </c>
      <c r="AC30" s="537">
        <v>16.100000000000001</v>
      </c>
      <c r="AD30" s="537">
        <v>21.3</v>
      </c>
      <c r="AE30" s="537">
        <v>25.8</v>
      </c>
      <c r="AF30" s="537"/>
      <c r="AG30" s="530"/>
    </row>
    <row r="31" spans="1:33" ht="15" x14ac:dyDescent="0.25">
      <c r="A31" s="40">
        <f t="shared" si="20"/>
        <v>115</v>
      </c>
      <c r="B31" s="108">
        <v>15</v>
      </c>
      <c r="C31" s="93">
        <v>24.9772</v>
      </c>
      <c r="D31" s="94">
        <v>22.8782</v>
      </c>
      <c r="E31" s="94">
        <v>20.361599999999999</v>
      </c>
      <c r="F31" s="94">
        <v>16.486000000000001</v>
      </c>
      <c r="G31" s="94">
        <v>12.937099999999999</v>
      </c>
      <c r="H31" s="94">
        <v>10.8421</v>
      </c>
      <c r="I31" s="94">
        <v>12.728300000000001</v>
      </c>
      <c r="J31" s="94">
        <v>14.5509</v>
      </c>
      <c r="K31" s="94">
        <v>17.091999999999999</v>
      </c>
      <c r="L31" s="94">
        <v>20.3066</v>
      </c>
      <c r="M31" s="94">
        <v>23.424399999999999</v>
      </c>
      <c r="N31" s="95">
        <v>24.804300000000001</v>
      </c>
      <c r="O31" s="96">
        <v>18.428999999999998</v>
      </c>
      <c r="S31" s="528" t="s">
        <v>580</v>
      </c>
      <c r="T31" s="537">
        <v>28.4</v>
      </c>
      <c r="U31" s="537">
        <v>28.5</v>
      </c>
      <c r="V31" s="537">
        <v>26.1</v>
      </c>
      <c r="W31" s="537">
        <v>21.7</v>
      </c>
      <c r="X31" s="537">
        <v>16.600000000000001</v>
      </c>
      <c r="Y31" s="537">
        <v>12</v>
      </c>
      <c r="Z31" s="537">
        <v>9.3000000000000007</v>
      </c>
      <c r="AA31" s="537">
        <v>9.1999999999999993</v>
      </c>
      <c r="AB31" s="537">
        <v>11.7</v>
      </c>
      <c r="AC31" s="537">
        <v>16.100000000000001</v>
      </c>
      <c r="AD31" s="537">
        <v>21.3</v>
      </c>
      <c r="AE31" s="537">
        <v>25.8</v>
      </c>
      <c r="AF31" s="537"/>
      <c r="AG31" s="530"/>
    </row>
    <row r="32" spans="1:33" ht="15" x14ac:dyDescent="0.25">
      <c r="A32" s="40">
        <f t="shared" si="20"/>
        <v>120</v>
      </c>
      <c r="B32" s="108">
        <v>20</v>
      </c>
      <c r="C32" s="93">
        <v>24.4588</v>
      </c>
      <c r="D32" s="94">
        <v>22.7499</v>
      </c>
      <c r="E32" s="94">
        <v>20.616</v>
      </c>
      <c r="F32" s="94">
        <v>17.012799999999999</v>
      </c>
      <c r="G32" s="94">
        <v>13.5381</v>
      </c>
      <c r="H32" s="94">
        <v>11.436500000000001</v>
      </c>
      <c r="I32" s="94">
        <v>13.431699999999999</v>
      </c>
      <c r="J32" s="94">
        <v>15.0901</v>
      </c>
      <c r="K32" s="94">
        <v>17.427800000000001</v>
      </c>
      <c r="L32" s="94">
        <v>20.328900000000001</v>
      </c>
      <c r="M32" s="94">
        <v>23.072700000000001</v>
      </c>
      <c r="N32" s="95">
        <v>24.2135</v>
      </c>
      <c r="O32" s="96">
        <v>18.595800000000001</v>
      </c>
      <c r="S32" s="528" t="s">
        <v>581</v>
      </c>
      <c r="T32" s="537">
        <v>28.4</v>
      </c>
      <c r="U32" s="537">
        <v>28.5</v>
      </c>
      <c r="V32" s="537">
        <v>26.1</v>
      </c>
      <c r="W32" s="537">
        <v>21.7</v>
      </c>
      <c r="X32" s="537">
        <v>16.600000000000001</v>
      </c>
      <c r="Y32" s="537">
        <v>12</v>
      </c>
      <c r="Z32" s="537">
        <v>9.3000000000000007</v>
      </c>
      <c r="AA32" s="537">
        <v>9.1999999999999993</v>
      </c>
      <c r="AB32" s="537">
        <v>11.7</v>
      </c>
      <c r="AC32" s="537">
        <v>16.100000000000001</v>
      </c>
      <c r="AD32" s="537">
        <v>21.3</v>
      </c>
      <c r="AE32" s="537">
        <v>25.8</v>
      </c>
      <c r="AF32" s="537"/>
      <c r="AG32" s="530"/>
    </row>
    <row r="33" spans="1:33" ht="15" x14ac:dyDescent="0.25">
      <c r="A33" s="40">
        <f t="shared" si="20"/>
        <v>125</v>
      </c>
      <c r="B33" s="108">
        <v>25</v>
      </c>
      <c r="C33" s="97">
        <v>23.791799999999999</v>
      </c>
      <c r="D33" s="98">
        <v>22.485199999999999</v>
      </c>
      <c r="E33" s="98">
        <v>20.7437</v>
      </c>
      <c r="F33" s="98">
        <v>17.434799999999999</v>
      </c>
      <c r="G33" s="98">
        <v>14.056900000000001</v>
      </c>
      <c r="H33" s="98">
        <v>11.9621</v>
      </c>
      <c r="I33" s="98">
        <v>14.051500000000001</v>
      </c>
      <c r="J33" s="98">
        <v>15.5381</v>
      </c>
      <c r="K33" s="98">
        <v>17.6584</v>
      </c>
      <c r="L33" s="98">
        <v>20.227699999999999</v>
      </c>
      <c r="M33" s="98">
        <v>22.580500000000001</v>
      </c>
      <c r="N33" s="99">
        <v>23.4801</v>
      </c>
      <c r="O33" s="100">
        <v>18.649999999999999</v>
      </c>
      <c r="S33" s="528" t="s">
        <v>582</v>
      </c>
      <c r="T33" s="537">
        <v>28.4</v>
      </c>
      <c r="U33" s="537">
        <v>28.5</v>
      </c>
      <c r="V33" s="537">
        <v>26.1</v>
      </c>
      <c r="W33" s="537">
        <v>21.7</v>
      </c>
      <c r="X33" s="537">
        <v>16.600000000000001</v>
      </c>
      <c r="Y33" s="537">
        <v>12</v>
      </c>
      <c r="Z33" s="537">
        <v>9.3000000000000007</v>
      </c>
      <c r="AA33" s="537">
        <v>9.1999999999999993</v>
      </c>
      <c r="AB33" s="537">
        <v>11.7</v>
      </c>
      <c r="AC33" s="537">
        <v>16.100000000000001</v>
      </c>
      <c r="AD33" s="537">
        <v>21.3</v>
      </c>
      <c r="AE33" s="537">
        <v>25.8</v>
      </c>
      <c r="AF33" s="537"/>
      <c r="AG33" s="530"/>
    </row>
    <row r="34" spans="1:33" ht="15" x14ac:dyDescent="0.25">
      <c r="A34" s="40">
        <f t="shared" si="20"/>
        <v>130</v>
      </c>
      <c r="B34" s="108">
        <v>30</v>
      </c>
      <c r="C34" s="93">
        <v>22.9923</v>
      </c>
      <c r="D34" s="94">
        <v>22.086200000000002</v>
      </c>
      <c r="E34" s="94">
        <v>20.743600000000001</v>
      </c>
      <c r="F34" s="94">
        <v>17.748899999999999</v>
      </c>
      <c r="G34" s="94">
        <v>14.489599999999999</v>
      </c>
      <c r="H34" s="94">
        <v>12.414999999999999</v>
      </c>
      <c r="I34" s="94">
        <v>14.582700000000001</v>
      </c>
      <c r="J34" s="94">
        <v>15.891400000000001</v>
      </c>
      <c r="K34" s="94">
        <v>17.7821</v>
      </c>
      <c r="L34" s="94">
        <v>20.003799999999998</v>
      </c>
      <c r="M34" s="94">
        <v>21.951499999999999</v>
      </c>
      <c r="N34" s="95">
        <v>22.616499999999998</v>
      </c>
      <c r="O34" s="96">
        <v>18.592500000000001</v>
      </c>
      <c r="S34" s="528" t="s">
        <v>583</v>
      </c>
      <c r="T34" s="537">
        <v>28.4</v>
      </c>
      <c r="U34" s="537">
        <v>28.5</v>
      </c>
      <c r="V34" s="537">
        <v>26.1</v>
      </c>
      <c r="W34" s="537">
        <v>21.7</v>
      </c>
      <c r="X34" s="537">
        <v>16.600000000000001</v>
      </c>
      <c r="Y34" s="537">
        <v>12</v>
      </c>
      <c r="Z34" s="537">
        <v>9.3000000000000007</v>
      </c>
      <c r="AA34" s="537">
        <v>9.1999999999999993</v>
      </c>
      <c r="AB34" s="537">
        <v>11.7</v>
      </c>
      <c r="AC34" s="537">
        <v>16.100000000000001</v>
      </c>
      <c r="AD34" s="537">
        <v>21.3</v>
      </c>
      <c r="AE34" s="537">
        <v>25.8</v>
      </c>
      <c r="AF34" s="537"/>
      <c r="AG34" s="530"/>
    </row>
    <row r="35" spans="1:33" ht="15" x14ac:dyDescent="0.25">
      <c r="A35" s="40">
        <f t="shared" si="20"/>
        <v>135</v>
      </c>
      <c r="B35" s="108">
        <v>35</v>
      </c>
      <c r="C35" s="93">
        <v>22.09</v>
      </c>
      <c r="D35" s="94">
        <v>21.5579</v>
      </c>
      <c r="E35" s="94">
        <v>20.6158</v>
      </c>
      <c r="F35" s="94">
        <v>17.9527</v>
      </c>
      <c r="G35" s="94">
        <v>14.8329</v>
      </c>
      <c r="H35" s="94">
        <v>12.791600000000001</v>
      </c>
      <c r="I35" s="94">
        <v>15.0214</v>
      </c>
      <c r="J35" s="94">
        <v>16.147300000000001</v>
      </c>
      <c r="K35" s="94">
        <v>17.797799999999999</v>
      </c>
      <c r="L35" s="94">
        <v>19.658899999999999</v>
      </c>
      <c r="M35" s="94">
        <v>21.1905</v>
      </c>
      <c r="N35" s="95">
        <v>21.617899999999999</v>
      </c>
      <c r="O35" s="96">
        <v>18.424900000000001</v>
      </c>
      <c r="S35" s="528" t="s">
        <v>584</v>
      </c>
      <c r="T35" s="537">
        <v>28.4</v>
      </c>
      <c r="U35" s="537">
        <v>28.5</v>
      </c>
      <c r="V35" s="537">
        <v>26.1</v>
      </c>
      <c r="W35" s="537">
        <v>21.7</v>
      </c>
      <c r="X35" s="537">
        <v>16.600000000000001</v>
      </c>
      <c r="Y35" s="537">
        <v>12</v>
      </c>
      <c r="Z35" s="537">
        <v>9.3000000000000007</v>
      </c>
      <c r="AA35" s="537">
        <v>9.1999999999999993</v>
      </c>
      <c r="AB35" s="537">
        <v>11.7</v>
      </c>
      <c r="AC35" s="537">
        <v>16.100000000000001</v>
      </c>
      <c r="AD35" s="537">
        <v>21.3</v>
      </c>
      <c r="AE35" s="537">
        <v>25.8</v>
      </c>
      <c r="AF35" s="537"/>
      <c r="AG35" s="530"/>
    </row>
    <row r="36" spans="1:33" ht="15" x14ac:dyDescent="0.25">
      <c r="A36" s="40">
        <f t="shared" si="20"/>
        <v>140</v>
      </c>
      <c r="B36" s="108">
        <v>40</v>
      </c>
      <c r="C36" s="93">
        <v>21.0791</v>
      </c>
      <c r="D36" s="94">
        <v>20.903400000000001</v>
      </c>
      <c r="E36" s="94">
        <v>20.3612</v>
      </c>
      <c r="F36" s="94">
        <v>18.044599999999999</v>
      </c>
      <c r="G36" s="94">
        <v>15.084199999999999</v>
      </c>
      <c r="H36" s="94">
        <v>13.0869</v>
      </c>
      <c r="I36" s="94">
        <v>15.3642</v>
      </c>
      <c r="J36" s="94">
        <v>16.303799999999999</v>
      </c>
      <c r="K36" s="94">
        <v>17.705500000000001</v>
      </c>
      <c r="L36" s="94">
        <v>19.195599999999999</v>
      </c>
      <c r="M36" s="94">
        <v>20.3033</v>
      </c>
      <c r="N36" s="95">
        <v>20.501300000000001</v>
      </c>
      <c r="O36" s="96">
        <v>18.148199999999999</v>
      </c>
      <c r="S36" s="528" t="s">
        <v>585</v>
      </c>
      <c r="T36" s="537">
        <v>28.4</v>
      </c>
      <c r="U36" s="537">
        <v>28.5</v>
      </c>
      <c r="V36" s="537">
        <v>26.1</v>
      </c>
      <c r="W36" s="537">
        <v>21.7</v>
      </c>
      <c r="X36" s="537">
        <v>16.600000000000001</v>
      </c>
      <c r="Y36" s="537">
        <v>12</v>
      </c>
      <c r="Z36" s="537">
        <v>9.3000000000000007</v>
      </c>
      <c r="AA36" s="537">
        <v>9.1999999999999993</v>
      </c>
      <c r="AB36" s="537">
        <v>11.7</v>
      </c>
      <c r="AC36" s="537">
        <v>16.100000000000001</v>
      </c>
      <c r="AD36" s="537">
        <v>21.3</v>
      </c>
      <c r="AE36" s="537">
        <v>25.8</v>
      </c>
      <c r="AF36" s="537"/>
      <c r="AG36" s="530"/>
    </row>
    <row r="37" spans="1:33" ht="15" x14ac:dyDescent="0.25">
      <c r="A37" s="40">
        <f t="shared" si="20"/>
        <v>145</v>
      </c>
      <c r="B37" s="108">
        <v>45</v>
      </c>
      <c r="C37" s="93">
        <v>19.946000000000002</v>
      </c>
      <c r="D37" s="94">
        <v>20.1265</v>
      </c>
      <c r="E37" s="94">
        <v>19.9818</v>
      </c>
      <c r="F37" s="94">
        <v>18.024000000000001</v>
      </c>
      <c r="G37" s="94">
        <v>15.2416</v>
      </c>
      <c r="H37" s="94">
        <v>13.276300000000001</v>
      </c>
      <c r="I37" s="94">
        <v>15.607900000000001</v>
      </c>
      <c r="J37" s="94">
        <v>16.3599</v>
      </c>
      <c r="K37" s="94">
        <v>17.505800000000001</v>
      </c>
      <c r="L37" s="94">
        <v>18.6175</v>
      </c>
      <c r="M37" s="94">
        <v>19.296700000000001</v>
      </c>
      <c r="N37" s="95">
        <v>19.292999999999999</v>
      </c>
      <c r="O37" s="96">
        <v>17.761900000000001</v>
      </c>
      <c r="S37" s="528" t="s">
        <v>593</v>
      </c>
      <c r="T37" s="537">
        <v>28.4</v>
      </c>
      <c r="U37" s="537">
        <v>28.5</v>
      </c>
      <c r="V37" s="537">
        <v>26.1</v>
      </c>
      <c r="W37" s="537">
        <v>21.7</v>
      </c>
      <c r="X37" s="537">
        <v>16.600000000000001</v>
      </c>
      <c r="Y37" s="537">
        <v>12</v>
      </c>
      <c r="Z37" s="537">
        <v>9.3000000000000007</v>
      </c>
      <c r="AA37" s="537">
        <v>9.1999999999999993</v>
      </c>
      <c r="AB37" s="537">
        <v>11.7</v>
      </c>
      <c r="AC37" s="537">
        <v>16.100000000000001</v>
      </c>
      <c r="AD37" s="537">
        <v>21.3</v>
      </c>
      <c r="AE37" s="537">
        <v>25.8</v>
      </c>
      <c r="AF37" s="537"/>
      <c r="AG37" s="530"/>
    </row>
    <row r="38" spans="1:33" ht="15" x14ac:dyDescent="0.25">
      <c r="A38" s="40">
        <f t="shared" si="20"/>
        <v>150</v>
      </c>
      <c r="B38" s="108">
        <v>50</v>
      </c>
      <c r="C38" s="93">
        <v>18.698599999999999</v>
      </c>
      <c r="D38" s="94">
        <v>19.2333</v>
      </c>
      <c r="E38" s="94">
        <v>19.480499999999999</v>
      </c>
      <c r="F38" s="94">
        <v>17.890899999999998</v>
      </c>
      <c r="G38" s="94">
        <v>15.3017</v>
      </c>
      <c r="H38" s="94">
        <v>13.3817</v>
      </c>
      <c r="I38" s="94">
        <v>15.7471</v>
      </c>
      <c r="J38" s="94">
        <v>16.315000000000001</v>
      </c>
      <c r="K38" s="94">
        <v>17.200299999999999</v>
      </c>
      <c r="L38" s="94">
        <v>17.928999999999998</v>
      </c>
      <c r="M38" s="94">
        <v>18.189599999999999</v>
      </c>
      <c r="N38" s="95">
        <v>17.985700000000001</v>
      </c>
      <c r="O38" s="96">
        <v>17.270099999999999</v>
      </c>
      <c r="S38" s="528" t="s">
        <v>586</v>
      </c>
      <c r="T38" s="537">
        <v>28.4</v>
      </c>
      <c r="U38" s="537">
        <v>28.5</v>
      </c>
      <c r="V38" s="537">
        <v>26.1</v>
      </c>
      <c r="W38" s="537">
        <v>21.7</v>
      </c>
      <c r="X38" s="537">
        <v>16.600000000000001</v>
      </c>
      <c r="Y38" s="537">
        <v>12</v>
      </c>
      <c r="Z38" s="537">
        <v>9.3000000000000007</v>
      </c>
      <c r="AA38" s="537">
        <v>9.1999999999999993</v>
      </c>
      <c r="AB38" s="537">
        <v>11.7</v>
      </c>
      <c r="AC38" s="537">
        <v>16.100000000000001</v>
      </c>
      <c r="AD38" s="537">
        <v>21.3</v>
      </c>
      <c r="AE38" s="537">
        <v>25.8</v>
      </c>
      <c r="AF38" s="537"/>
      <c r="AG38" s="530"/>
    </row>
    <row r="39" spans="1:33" ht="15" x14ac:dyDescent="0.25">
      <c r="A39" s="40">
        <f t="shared" si="20"/>
        <v>155</v>
      </c>
      <c r="B39" s="108">
        <v>55</v>
      </c>
      <c r="C39" s="93">
        <v>17.346499999999999</v>
      </c>
      <c r="D39" s="94">
        <v>18.230499999999999</v>
      </c>
      <c r="E39" s="94">
        <v>18.861000000000001</v>
      </c>
      <c r="F39" s="94">
        <v>17.6465</v>
      </c>
      <c r="G39" s="94">
        <v>15.2645</v>
      </c>
      <c r="H39" s="94">
        <v>13.408099999999999</v>
      </c>
      <c r="I39" s="94">
        <v>15.782999999999999</v>
      </c>
      <c r="J39" s="94">
        <v>16.169499999999999</v>
      </c>
      <c r="K39" s="94">
        <v>16.791399999999999</v>
      </c>
      <c r="L39" s="94">
        <v>17.135300000000001</v>
      </c>
      <c r="M39" s="94">
        <v>17.005400000000002</v>
      </c>
      <c r="N39" s="95">
        <v>16.588999999999999</v>
      </c>
      <c r="O39" s="96">
        <v>16.6784</v>
      </c>
      <c r="S39" s="528" t="s">
        <v>587</v>
      </c>
      <c r="T39" s="537">
        <v>28.4</v>
      </c>
      <c r="U39" s="537">
        <v>28.5</v>
      </c>
      <c r="V39" s="537">
        <v>26.1</v>
      </c>
      <c r="W39" s="537">
        <v>21.7</v>
      </c>
      <c r="X39" s="537">
        <v>16.600000000000001</v>
      </c>
      <c r="Y39" s="537">
        <v>12</v>
      </c>
      <c r="Z39" s="537">
        <v>9.3000000000000007</v>
      </c>
      <c r="AA39" s="537">
        <v>9.1999999999999993</v>
      </c>
      <c r="AB39" s="537">
        <v>11.7</v>
      </c>
      <c r="AC39" s="537">
        <v>16.100000000000001</v>
      </c>
      <c r="AD39" s="537">
        <v>21.3</v>
      </c>
      <c r="AE39" s="537">
        <v>25.8</v>
      </c>
      <c r="AF39" s="537"/>
      <c r="AG39" s="530"/>
    </row>
    <row r="40" spans="1:33" ht="15" x14ac:dyDescent="0.25">
      <c r="A40" s="40">
        <f t="shared" si="20"/>
        <v>160</v>
      </c>
      <c r="B40" s="108">
        <v>60</v>
      </c>
      <c r="C40" s="93">
        <v>15.9032</v>
      </c>
      <c r="D40" s="94">
        <v>17.125599999999999</v>
      </c>
      <c r="E40" s="94">
        <v>18.1282</v>
      </c>
      <c r="F40" s="94">
        <v>17.2925</v>
      </c>
      <c r="G40" s="94">
        <v>15.132</v>
      </c>
      <c r="H40" s="94">
        <v>13.355399999999999</v>
      </c>
      <c r="I40" s="94">
        <v>15.7173</v>
      </c>
      <c r="J40" s="94">
        <v>15.9246</v>
      </c>
      <c r="K40" s="94">
        <v>16.282</v>
      </c>
      <c r="L40" s="94">
        <v>16.243200000000002</v>
      </c>
      <c r="M40" s="94">
        <v>15.7639</v>
      </c>
      <c r="N40" s="95">
        <v>15.148199999999999</v>
      </c>
      <c r="O40" s="96">
        <v>15.995699999999999</v>
      </c>
      <c r="S40" s="528" t="s">
        <v>588</v>
      </c>
      <c r="T40" s="537">
        <v>28.4</v>
      </c>
      <c r="U40" s="537">
        <v>28.5</v>
      </c>
      <c r="V40" s="537">
        <v>26.1</v>
      </c>
      <c r="W40" s="537">
        <v>21.7</v>
      </c>
      <c r="X40" s="537">
        <v>16.600000000000001</v>
      </c>
      <c r="Y40" s="537">
        <v>12</v>
      </c>
      <c r="Z40" s="537">
        <v>9.3000000000000007</v>
      </c>
      <c r="AA40" s="537">
        <v>9.1999999999999993</v>
      </c>
      <c r="AB40" s="537">
        <v>11.7</v>
      </c>
      <c r="AC40" s="537">
        <v>16.100000000000001</v>
      </c>
      <c r="AD40" s="537">
        <v>21.3</v>
      </c>
      <c r="AE40" s="537">
        <v>25.8</v>
      </c>
      <c r="AF40" s="537"/>
      <c r="AG40" s="530"/>
    </row>
    <row r="41" spans="1:33" ht="15" x14ac:dyDescent="0.25">
      <c r="A41" s="40">
        <f t="shared" si="20"/>
        <v>165</v>
      </c>
      <c r="B41" s="108">
        <v>65</v>
      </c>
      <c r="C41" s="93">
        <v>14.4015</v>
      </c>
      <c r="D41" s="94">
        <v>15.927199999999999</v>
      </c>
      <c r="E41" s="94">
        <v>17.287500000000001</v>
      </c>
      <c r="F41" s="94">
        <v>16.831700000000001</v>
      </c>
      <c r="G41" s="94">
        <v>14.9061</v>
      </c>
      <c r="H41" s="94">
        <v>13.2239</v>
      </c>
      <c r="I41" s="94">
        <v>15.552099999999999</v>
      </c>
      <c r="J41" s="94">
        <v>15.581899999999999</v>
      </c>
      <c r="K41" s="94">
        <v>15.6761</v>
      </c>
      <c r="L41" s="94">
        <v>15.267099999999999</v>
      </c>
      <c r="M41" s="94">
        <v>14.4427</v>
      </c>
      <c r="N41" s="95">
        <v>13.635899999999999</v>
      </c>
      <c r="O41" s="96">
        <v>15.2241</v>
      </c>
      <c r="S41" s="528" t="s">
        <v>589</v>
      </c>
      <c r="T41" s="537">
        <v>28.4</v>
      </c>
      <c r="U41" s="537">
        <v>28.5</v>
      </c>
      <c r="V41" s="537">
        <v>26.1</v>
      </c>
      <c r="W41" s="537">
        <v>21.7</v>
      </c>
      <c r="X41" s="537">
        <v>16.600000000000001</v>
      </c>
      <c r="Y41" s="537">
        <v>12</v>
      </c>
      <c r="Z41" s="537">
        <v>9.3000000000000007</v>
      </c>
      <c r="AA41" s="537">
        <v>9.1999999999999993</v>
      </c>
      <c r="AB41" s="537">
        <v>11.7</v>
      </c>
      <c r="AC41" s="537">
        <v>16.100000000000001</v>
      </c>
      <c r="AD41" s="537">
        <v>21.3</v>
      </c>
      <c r="AE41" s="537">
        <v>25.8</v>
      </c>
      <c r="AF41" s="537"/>
      <c r="AG41" s="530"/>
    </row>
    <row r="42" spans="1:33" ht="15" x14ac:dyDescent="0.25">
      <c r="A42" s="40">
        <f t="shared" si="20"/>
        <v>170</v>
      </c>
      <c r="B42" s="108">
        <v>70</v>
      </c>
      <c r="C42" s="93">
        <v>12.9107</v>
      </c>
      <c r="D42" s="94">
        <v>14.644399999999999</v>
      </c>
      <c r="E42" s="94">
        <v>16.345300000000002</v>
      </c>
      <c r="F42" s="94">
        <v>16.267499999999998</v>
      </c>
      <c r="G42" s="94">
        <v>14.589</v>
      </c>
      <c r="H42" s="94">
        <v>13.014699999999999</v>
      </c>
      <c r="I42" s="94">
        <v>15.289199999999999</v>
      </c>
      <c r="J42" s="94">
        <v>15.144299999999999</v>
      </c>
      <c r="K42" s="94">
        <v>14.978400000000001</v>
      </c>
      <c r="L42" s="94">
        <v>14.2143</v>
      </c>
      <c r="M42" s="94">
        <v>13.0466</v>
      </c>
      <c r="N42" s="95">
        <v>12.094799999999999</v>
      </c>
      <c r="O42" s="96">
        <v>14.3767</v>
      </c>
      <c r="S42" s="528" t="s">
        <v>590</v>
      </c>
      <c r="T42" s="537">
        <v>28.4</v>
      </c>
      <c r="U42" s="537">
        <v>28.5</v>
      </c>
      <c r="V42" s="537">
        <v>26.1</v>
      </c>
      <c r="W42" s="537">
        <v>21.7</v>
      </c>
      <c r="X42" s="537">
        <v>16.600000000000001</v>
      </c>
      <c r="Y42" s="537">
        <v>12</v>
      </c>
      <c r="Z42" s="537">
        <v>9.3000000000000007</v>
      </c>
      <c r="AA42" s="537">
        <v>9.1999999999999993</v>
      </c>
      <c r="AB42" s="537">
        <v>11.7</v>
      </c>
      <c r="AC42" s="537">
        <v>16.100000000000001</v>
      </c>
      <c r="AD42" s="537">
        <v>21.3</v>
      </c>
      <c r="AE42" s="537">
        <v>25.8</v>
      </c>
      <c r="AF42" s="537"/>
      <c r="AG42" s="530"/>
    </row>
    <row r="43" spans="1:33" ht="15" x14ac:dyDescent="0.25">
      <c r="A43" s="40">
        <f t="shared" si="20"/>
        <v>175</v>
      </c>
      <c r="B43" s="108">
        <v>75</v>
      </c>
      <c r="C43" s="93">
        <v>11.387700000000001</v>
      </c>
      <c r="D43" s="94">
        <v>13.303100000000001</v>
      </c>
      <c r="E43" s="94">
        <v>15.3089</v>
      </c>
      <c r="F43" s="94">
        <v>15.6043</v>
      </c>
      <c r="G43" s="94">
        <v>14.183299999999999</v>
      </c>
      <c r="H43" s="94">
        <v>12.7293</v>
      </c>
      <c r="I43" s="94">
        <v>14.9308</v>
      </c>
      <c r="J43" s="94">
        <v>14.615</v>
      </c>
      <c r="K43" s="94">
        <v>14.194000000000001</v>
      </c>
      <c r="L43" s="94">
        <v>13.0893</v>
      </c>
      <c r="M43" s="94">
        <v>11.5913</v>
      </c>
      <c r="N43" s="95">
        <v>10.547700000000001</v>
      </c>
      <c r="O43" s="96">
        <v>13.4575</v>
      </c>
      <c r="S43" s="528" t="s">
        <v>591</v>
      </c>
      <c r="T43" s="537">
        <v>28.4</v>
      </c>
      <c r="U43" s="537">
        <v>28.5</v>
      </c>
      <c r="V43" s="537">
        <v>26.1</v>
      </c>
      <c r="W43" s="537">
        <v>21.7</v>
      </c>
      <c r="X43" s="537">
        <v>16.600000000000001</v>
      </c>
      <c r="Y43" s="537">
        <v>12</v>
      </c>
      <c r="Z43" s="537">
        <v>9.3000000000000007</v>
      </c>
      <c r="AA43" s="537">
        <v>9.1999999999999993</v>
      </c>
      <c r="AB43" s="537">
        <v>11.7</v>
      </c>
      <c r="AC43" s="537">
        <v>16.100000000000001</v>
      </c>
      <c r="AD43" s="537">
        <v>21.3</v>
      </c>
      <c r="AE43" s="537">
        <v>25.8</v>
      </c>
      <c r="AF43" s="537"/>
      <c r="AG43" s="530"/>
    </row>
    <row r="44" spans="1:33" ht="15" x14ac:dyDescent="0.25">
      <c r="A44" s="40">
        <f t="shared" si="20"/>
        <v>180</v>
      </c>
      <c r="B44" s="108">
        <v>80</v>
      </c>
      <c r="C44" s="93">
        <v>9.8216999999999999</v>
      </c>
      <c r="D44" s="94">
        <v>11.9239</v>
      </c>
      <c r="E44" s="94">
        <v>14.186199999999999</v>
      </c>
      <c r="F44" s="94">
        <v>14.847200000000001</v>
      </c>
      <c r="G44" s="94">
        <v>13.6919</v>
      </c>
      <c r="H44" s="94">
        <v>12.369899999999999</v>
      </c>
      <c r="I44" s="94">
        <v>14.4794</v>
      </c>
      <c r="J44" s="94">
        <v>13.997999999999999</v>
      </c>
      <c r="K44" s="94">
        <v>13.3291</v>
      </c>
      <c r="L44" s="94">
        <v>11.898400000000001</v>
      </c>
      <c r="M44" s="94">
        <v>10.126799999999999</v>
      </c>
      <c r="N44" s="95">
        <v>9.0345999999999993</v>
      </c>
      <c r="O44" s="96">
        <v>12.478</v>
      </c>
      <c r="S44" s="533" t="s">
        <v>592</v>
      </c>
      <c r="T44" s="538">
        <v>28.4</v>
      </c>
      <c r="U44" s="538">
        <v>28.5</v>
      </c>
      <c r="V44" s="538">
        <v>26.1</v>
      </c>
      <c r="W44" s="538">
        <v>21.7</v>
      </c>
      <c r="X44" s="538">
        <v>16.600000000000001</v>
      </c>
      <c r="Y44" s="538">
        <v>12</v>
      </c>
      <c r="Z44" s="538">
        <v>9.3000000000000007</v>
      </c>
      <c r="AA44" s="538">
        <v>9.1999999999999993</v>
      </c>
      <c r="AB44" s="538">
        <v>11.7</v>
      </c>
      <c r="AC44" s="538">
        <v>16.100000000000001</v>
      </c>
      <c r="AD44" s="538">
        <v>21.3</v>
      </c>
      <c r="AE44" s="538">
        <v>25.8</v>
      </c>
      <c r="AF44" s="538"/>
      <c r="AG44" s="535"/>
    </row>
    <row r="45" spans="1:33" ht="15" x14ac:dyDescent="0.25">
      <c r="A45" s="40">
        <f t="shared" si="20"/>
        <v>185</v>
      </c>
      <c r="B45" s="109">
        <v>85</v>
      </c>
      <c r="C45" s="101">
        <v>8.3073999999999995</v>
      </c>
      <c r="D45" s="102">
        <v>10.510999999999999</v>
      </c>
      <c r="E45" s="102">
        <v>12.9856</v>
      </c>
      <c r="F45" s="102">
        <v>14.0017</v>
      </c>
      <c r="G45" s="102">
        <v>13.1183</v>
      </c>
      <c r="H45" s="102">
        <v>11.9392</v>
      </c>
      <c r="I45" s="102">
        <v>13.9382</v>
      </c>
      <c r="J45" s="102">
        <v>13.298</v>
      </c>
      <c r="K45" s="102">
        <v>12.3901</v>
      </c>
      <c r="L45" s="102">
        <v>10.649900000000001</v>
      </c>
      <c r="M45" s="102">
        <v>8.6879000000000008</v>
      </c>
      <c r="N45" s="103">
        <v>7.5686</v>
      </c>
      <c r="O45" s="104">
        <v>11.454000000000001</v>
      </c>
    </row>
    <row r="46" spans="1:33" x14ac:dyDescent="0.2">
      <c r="A46" s="40">
        <f t="shared" si="20"/>
        <v>190</v>
      </c>
      <c r="B46" s="40">
        <v>90</v>
      </c>
    </row>
    <row r="47" spans="1:33" x14ac:dyDescent="0.2">
      <c r="A47" s="40">
        <f t="shared" si="20"/>
        <v>191</v>
      </c>
      <c r="B47" s="40">
        <v>91</v>
      </c>
      <c r="C47" s="345">
        <f>T2</f>
        <v>25.4</v>
      </c>
      <c r="D47" s="345">
        <f t="shared" ref="D47:N47" si="21">U2</f>
        <v>24.6</v>
      </c>
      <c r="E47" s="345">
        <f t="shared" si="21"/>
        <v>22.5</v>
      </c>
      <c r="F47" s="345">
        <f t="shared" si="21"/>
        <v>18.899999999999999</v>
      </c>
      <c r="G47" s="345">
        <f t="shared" si="21"/>
        <v>15.7</v>
      </c>
      <c r="H47" s="345">
        <f t="shared" si="21"/>
        <v>12.9</v>
      </c>
      <c r="I47" s="345">
        <f t="shared" si="21"/>
        <v>13.1</v>
      </c>
      <c r="J47" s="345">
        <f t="shared" si="21"/>
        <v>14.4</v>
      </c>
      <c r="K47" s="345">
        <f t="shared" si="21"/>
        <v>16</v>
      </c>
      <c r="L47" s="345">
        <f t="shared" si="21"/>
        <v>18.7</v>
      </c>
      <c r="M47" s="345">
        <f t="shared" si="21"/>
        <v>21.4</v>
      </c>
      <c r="N47" s="345">
        <f t="shared" si="21"/>
        <v>24</v>
      </c>
      <c r="O47" s="345">
        <f>AF2</f>
        <v>19</v>
      </c>
      <c r="P47" s="41" t="s">
        <v>575</v>
      </c>
    </row>
    <row r="48" spans="1:33" x14ac:dyDescent="0.2">
      <c r="A48" s="40">
        <f t="shared" si="20"/>
        <v>192</v>
      </c>
      <c r="B48" s="40">
        <v>92</v>
      </c>
      <c r="C48" s="343">
        <f>T26</f>
        <v>28.4</v>
      </c>
      <c r="D48" s="343">
        <f t="shared" ref="D48:N48" si="22">U26</f>
        <v>28.5</v>
      </c>
      <c r="E48" s="343">
        <f t="shared" si="22"/>
        <v>26.1</v>
      </c>
      <c r="F48" s="343">
        <f t="shared" si="22"/>
        <v>21.7</v>
      </c>
      <c r="G48" s="343">
        <f t="shared" si="22"/>
        <v>16.600000000000001</v>
      </c>
      <c r="H48" s="343">
        <f t="shared" si="22"/>
        <v>12</v>
      </c>
      <c r="I48" s="343">
        <f t="shared" si="22"/>
        <v>9.3000000000000007</v>
      </c>
      <c r="J48" s="343">
        <f t="shared" si="22"/>
        <v>9.1999999999999993</v>
      </c>
      <c r="K48" s="343">
        <f t="shared" si="22"/>
        <v>11.7</v>
      </c>
      <c r="L48" s="343">
        <f t="shared" si="22"/>
        <v>16.100000000000001</v>
      </c>
      <c r="M48" s="343">
        <f t="shared" si="22"/>
        <v>21.3</v>
      </c>
      <c r="N48" s="343">
        <f t="shared" si="22"/>
        <v>25.8</v>
      </c>
      <c r="O48" s="343">
        <f>AF26</f>
        <v>0</v>
      </c>
    </row>
    <row r="50" spans="1:15" ht="15.75" x14ac:dyDescent="0.25">
      <c r="B50" s="89" t="s">
        <v>621</v>
      </c>
      <c r="C50"/>
      <c r="D50"/>
      <c r="E50"/>
      <c r="F50"/>
      <c r="G50" s="955" t="s">
        <v>613</v>
      </c>
      <c r="H50" s="955"/>
      <c r="I50" s="955"/>
      <c r="J50" s="955"/>
      <c r="K50" s="955"/>
      <c r="L50" s="955"/>
      <c r="M50" s="955"/>
      <c r="N50" s="955"/>
      <c r="O50" s="105">
        <v>2</v>
      </c>
    </row>
    <row r="51" spans="1:15" ht="15" x14ac:dyDescent="0.25">
      <c r="B51" t="s">
        <v>614</v>
      </c>
      <c r="C51" t="s">
        <v>622</v>
      </c>
      <c r="D51" t="s">
        <v>616</v>
      </c>
      <c r="E51" t="s">
        <v>623</v>
      </c>
      <c r="F51"/>
      <c r="G51" s="956" t="s">
        <v>618</v>
      </c>
      <c r="H51" s="956"/>
      <c r="I51" s="956"/>
      <c r="J51" s="956"/>
      <c r="K51" s="956"/>
      <c r="L51" s="956"/>
      <c r="M51" s="956"/>
      <c r="N51" s="956"/>
      <c r="O51" s="956"/>
    </row>
    <row r="52" spans="1:15" ht="15" x14ac:dyDescent="0.25">
      <c r="B52" s="90" t="s">
        <v>619</v>
      </c>
      <c r="C52" s="91" t="s">
        <v>4</v>
      </c>
      <c r="D52" s="91" t="s">
        <v>5</v>
      </c>
      <c r="E52" s="91" t="s">
        <v>6</v>
      </c>
      <c r="F52" s="91" t="s">
        <v>7</v>
      </c>
      <c r="G52" s="91" t="s">
        <v>8</v>
      </c>
      <c r="H52" s="91" t="s">
        <v>9</v>
      </c>
      <c r="I52" s="91" t="s">
        <v>10</v>
      </c>
      <c r="J52" s="91" t="s">
        <v>11</v>
      </c>
      <c r="K52" s="91" t="s">
        <v>12</v>
      </c>
      <c r="L52" s="91" t="s">
        <v>13</v>
      </c>
      <c r="M52" s="91" t="s">
        <v>14</v>
      </c>
      <c r="N52" s="91" t="s">
        <v>15</v>
      </c>
      <c r="O52" s="92" t="s">
        <v>620</v>
      </c>
    </row>
    <row r="53" spans="1:15" ht="15" x14ac:dyDescent="0.25">
      <c r="A53" s="40">
        <f>O$50*100+B53</f>
        <v>200</v>
      </c>
      <c r="B53" s="108">
        <v>0</v>
      </c>
      <c r="C53" s="93">
        <v>26.3461</v>
      </c>
      <c r="D53" s="94">
        <v>21.5185</v>
      </c>
      <c r="E53" s="94">
        <v>17.693200000000001</v>
      </c>
      <c r="F53" s="94">
        <v>13.1989</v>
      </c>
      <c r="G53" s="94">
        <v>9.0939999999999994</v>
      </c>
      <c r="H53" s="94">
        <v>7.5991999999999997</v>
      </c>
      <c r="I53" s="94">
        <v>8.0803999999999991</v>
      </c>
      <c r="J53" s="94">
        <v>10.2623</v>
      </c>
      <c r="K53" s="94">
        <v>14.1045</v>
      </c>
      <c r="L53" s="94">
        <v>18.784199999999998</v>
      </c>
      <c r="M53" s="94">
        <v>23.479900000000001</v>
      </c>
      <c r="N53" s="95">
        <v>25.863499999999998</v>
      </c>
      <c r="O53" s="96">
        <v>16.311900000000001</v>
      </c>
    </row>
    <row r="54" spans="1:15" ht="15" x14ac:dyDescent="0.25">
      <c r="A54" s="40">
        <f t="shared" ref="A54:A73" si="23">O$50*100+B54</f>
        <v>205</v>
      </c>
      <c r="B54" s="108">
        <v>5</v>
      </c>
      <c r="C54" s="93">
        <v>26.412400000000002</v>
      </c>
      <c r="D54" s="94">
        <v>21.863499999999998</v>
      </c>
      <c r="E54" s="94">
        <v>18.34</v>
      </c>
      <c r="F54" s="94">
        <v>14.018000000000001</v>
      </c>
      <c r="G54" s="94">
        <v>9.8048999999999999</v>
      </c>
      <c r="H54" s="94">
        <v>8.3161000000000005</v>
      </c>
      <c r="I54" s="94">
        <v>8.8116000000000003</v>
      </c>
      <c r="J54" s="94">
        <v>10.9382</v>
      </c>
      <c r="K54" s="94">
        <v>14.728</v>
      </c>
      <c r="L54" s="94">
        <v>19.2301</v>
      </c>
      <c r="M54" s="94">
        <v>23.6631</v>
      </c>
      <c r="N54" s="95">
        <v>25.854299999999999</v>
      </c>
      <c r="O54" s="96">
        <v>16.808399999999999</v>
      </c>
    </row>
    <row r="55" spans="1:15" ht="15" x14ac:dyDescent="0.25">
      <c r="A55" s="40">
        <f t="shared" si="23"/>
        <v>210</v>
      </c>
      <c r="B55" s="108">
        <v>10</v>
      </c>
      <c r="C55" s="93">
        <v>26.316299999999998</v>
      </c>
      <c r="D55" s="94">
        <v>22.0791</v>
      </c>
      <c r="E55" s="94">
        <v>18.878499999999999</v>
      </c>
      <c r="F55" s="94">
        <v>14.755100000000001</v>
      </c>
      <c r="G55" s="94">
        <v>10.4613</v>
      </c>
      <c r="H55" s="94">
        <v>8.9868000000000006</v>
      </c>
      <c r="I55" s="94">
        <v>9.4931999999999999</v>
      </c>
      <c r="J55" s="94">
        <v>11.553100000000001</v>
      </c>
      <c r="K55" s="94">
        <v>15.2669</v>
      </c>
      <c r="L55" s="94">
        <v>19.5627</v>
      </c>
      <c r="M55" s="94">
        <v>23.703900000000001</v>
      </c>
      <c r="N55" s="95">
        <v>25.688500000000001</v>
      </c>
      <c r="O55" s="96">
        <v>17.2059</v>
      </c>
    </row>
    <row r="56" spans="1:15" ht="15" x14ac:dyDescent="0.25">
      <c r="A56" s="40">
        <f t="shared" si="23"/>
        <v>215</v>
      </c>
      <c r="B56" s="108">
        <v>15</v>
      </c>
      <c r="C56" s="93">
        <v>26.058399999999999</v>
      </c>
      <c r="D56" s="94">
        <v>22.163699999999999</v>
      </c>
      <c r="E56" s="94">
        <v>19.304500000000001</v>
      </c>
      <c r="F56" s="94">
        <v>15.4047</v>
      </c>
      <c r="G56" s="94">
        <v>11.058199999999999</v>
      </c>
      <c r="H56" s="94">
        <v>9.6059999999999999</v>
      </c>
      <c r="I56" s="94">
        <v>10.119899999999999</v>
      </c>
      <c r="J56" s="94">
        <v>12.102</v>
      </c>
      <c r="K56" s="94">
        <v>15.7172</v>
      </c>
      <c r="L56" s="94">
        <v>19.779499999999999</v>
      </c>
      <c r="M56" s="94">
        <v>23.601900000000001</v>
      </c>
      <c r="N56" s="95">
        <v>25.3673</v>
      </c>
      <c r="O56" s="96">
        <v>17.501300000000001</v>
      </c>
    </row>
    <row r="57" spans="1:15" ht="15" x14ac:dyDescent="0.25">
      <c r="A57" s="40">
        <f t="shared" si="23"/>
        <v>220</v>
      </c>
      <c r="B57" s="108">
        <v>20</v>
      </c>
      <c r="C57" s="93">
        <v>25.640799999999999</v>
      </c>
      <c r="D57" s="94">
        <v>22.116599999999998</v>
      </c>
      <c r="E57" s="94">
        <v>19.614699999999999</v>
      </c>
      <c r="F57" s="94">
        <v>15.9619</v>
      </c>
      <c r="G57" s="94">
        <v>11.591200000000001</v>
      </c>
      <c r="H57" s="94">
        <v>10.1691</v>
      </c>
      <c r="I57" s="94">
        <v>10.687099999999999</v>
      </c>
      <c r="J57" s="94">
        <v>12.581</v>
      </c>
      <c r="K57" s="94">
        <v>16.075399999999998</v>
      </c>
      <c r="L57" s="94">
        <v>19.878799999999998</v>
      </c>
      <c r="M57" s="94">
        <v>23.3581</v>
      </c>
      <c r="N57" s="95">
        <v>24.8932</v>
      </c>
      <c r="O57" s="96">
        <v>17.692299999999999</v>
      </c>
    </row>
    <row r="58" spans="1:15" ht="15" x14ac:dyDescent="0.25">
      <c r="A58" s="40">
        <f t="shared" si="23"/>
        <v>225</v>
      </c>
      <c r="B58" s="108">
        <v>25</v>
      </c>
      <c r="C58" s="97">
        <v>25.066600000000001</v>
      </c>
      <c r="D58" s="98">
        <v>21.938199999999998</v>
      </c>
      <c r="E58" s="98">
        <v>19.806899999999999</v>
      </c>
      <c r="F58" s="98">
        <v>16.4223</v>
      </c>
      <c r="G58" s="98">
        <v>12.055999999999999</v>
      </c>
      <c r="H58" s="98">
        <v>10.671799999999999</v>
      </c>
      <c r="I58" s="98">
        <v>11.190300000000001</v>
      </c>
      <c r="J58" s="98">
        <v>12.9864</v>
      </c>
      <c r="K58" s="98">
        <v>16.338799999999999</v>
      </c>
      <c r="L58" s="98">
        <v>19.8599</v>
      </c>
      <c r="M58" s="98">
        <v>22.9742</v>
      </c>
      <c r="N58" s="99">
        <v>24.273599999999998</v>
      </c>
      <c r="O58" s="100">
        <v>17.777899999999999</v>
      </c>
    </row>
    <row r="59" spans="1:15" ht="15" x14ac:dyDescent="0.25">
      <c r="A59" s="40">
        <f t="shared" si="23"/>
        <v>230</v>
      </c>
      <c r="B59" s="108">
        <v>30</v>
      </c>
      <c r="C59" s="93">
        <v>24.3459</v>
      </c>
      <c r="D59" s="94">
        <v>21.629799999999999</v>
      </c>
      <c r="E59" s="94">
        <v>19.8795</v>
      </c>
      <c r="F59" s="94">
        <v>16.782599999999999</v>
      </c>
      <c r="G59" s="94">
        <v>12.449299999999999</v>
      </c>
      <c r="H59" s="94">
        <v>11.1104</v>
      </c>
      <c r="I59" s="94">
        <v>11.6258</v>
      </c>
      <c r="J59" s="94">
        <v>13.315</v>
      </c>
      <c r="K59" s="94">
        <v>16.505400000000002</v>
      </c>
      <c r="L59" s="94">
        <v>19.722999999999999</v>
      </c>
      <c r="M59" s="94">
        <v>22.453099999999999</v>
      </c>
      <c r="N59" s="95">
        <v>23.526800000000001</v>
      </c>
      <c r="O59" s="96">
        <v>17.758900000000001</v>
      </c>
    </row>
    <row r="60" spans="1:15" ht="15" x14ac:dyDescent="0.25">
      <c r="A60" s="40">
        <f t="shared" si="23"/>
        <v>235</v>
      </c>
      <c r="B60" s="108">
        <v>35</v>
      </c>
      <c r="C60" s="93">
        <v>23.503499999999999</v>
      </c>
      <c r="D60" s="94">
        <v>21.196200000000001</v>
      </c>
      <c r="E60" s="94">
        <v>19.832100000000001</v>
      </c>
      <c r="F60" s="94">
        <v>17.039899999999999</v>
      </c>
      <c r="G60" s="94">
        <v>12.768000000000001</v>
      </c>
      <c r="H60" s="94">
        <v>11.481299999999999</v>
      </c>
      <c r="I60" s="94">
        <v>11.9902</v>
      </c>
      <c r="J60" s="94">
        <v>13.564299999999999</v>
      </c>
      <c r="K60" s="94">
        <v>16.573899999999998</v>
      </c>
      <c r="L60" s="94">
        <v>19.469000000000001</v>
      </c>
      <c r="M60" s="94">
        <v>21.7989</v>
      </c>
      <c r="N60" s="95">
        <v>22.642700000000001</v>
      </c>
      <c r="O60" s="96">
        <v>17.636099999999999</v>
      </c>
    </row>
    <row r="61" spans="1:15" ht="15" x14ac:dyDescent="0.25">
      <c r="A61" s="40">
        <f t="shared" si="23"/>
        <v>240</v>
      </c>
      <c r="B61" s="108">
        <v>40</v>
      </c>
      <c r="C61" s="93">
        <v>22.532800000000002</v>
      </c>
      <c r="D61" s="94">
        <v>20.646100000000001</v>
      </c>
      <c r="E61" s="94">
        <v>19.664899999999999</v>
      </c>
      <c r="F61" s="94">
        <v>17.192299999999999</v>
      </c>
      <c r="G61" s="94">
        <v>13.0097</v>
      </c>
      <c r="H61" s="94">
        <v>11.7819</v>
      </c>
      <c r="I61" s="94">
        <v>12.280200000000001</v>
      </c>
      <c r="J61" s="94">
        <v>13.7326</v>
      </c>
      <c r="K61" s="94">
        <v>16.543800000000001</v>
      </c>
      <c r="L61" s="94">
        <v>19.100000000000001</v>
      </c>
      <c r="M61" s="94">
        <v>21.016400000000001</v>
      </c>
      <c r="N61" s="95">
        <v>21.6265</v>
      </c>
      <c r="O61" s="96">
        <v>17.409500000000001</v>
      </c>
    </row>
    <row r="62" spans="1:15" ht="15" x14ac:dyDescent="0.25">
      <c r="A62" s="40">
        <f t="shared" si="23"/>
        <v>245</v>
      </c>
      <c r="B62" s="108">
        <v>45</v>
      </c>
      <c r="C62" s="93">
        <v>21.4587</v>
      </c>
      <c r="D62" s="94">
        <v>19.978100000000001</v>
      </c>
      <c r="E62" s="94">
        <v>19.379200000000001</v>
      </c>
      <c r="F62" s="94">
        <v>17.238600000000002</v>
      </c>
      <c r="G62" s="94">
        <v>13.172499999999999</v>
      </c>
      <c r="H62" s="94">
        <v>12.0098</v>
      </c>
      <c r="I62" s="94">
        <v>12.491099999999999</v>
      </c>
      <c r="J62" s="94">
        <v>13.8184</v>
      </c>
      <c r="K62" s="94">
        <v>16.415299999999998</v>
      </c>
      <c r="L62" s="94">
        <v>18.618600000000001</v>
      </c>
      <c r="M62" s="94">
        <v>20.111699999999999</v>
      </c>
      <c r="N62" s="95">
        <v>20.4909</v>
      </c>
      <c r="O62" s="96">
        <v>17.082100000000001</v>
      </c>
    </row>
    <row r="63" spans="1:15" ht="15" x14ac:dyDescent="0.25">
      <c r="A63" s="40">
        <f t="shared" si="23"/>
        <v>250</v>
      </c>
      <c r="B63" s="108">
        <v>50</v>
      </c>
      <c r="C63" s="93">
        <v>20.263400000000001</v>
      </c>
      <c r="D63" s="94">
        <v>19.1951</v>
      </c>
      <c r="E63" s="94">
        <v>18.9772</v>
      </c>
      <c r="F63" s="94">
        <v>17.1785</v>
      </c>
      <c r="G63" s="94">
        <v>13.254300000000001</v>
      </c>
      <c r="H63" s="94">
        <v>12.1547</v>
      </c>
      <c r="I63" s="94">
        <v>12.620200000000001</v>
      </c>
      <c r="J63" s="94">
        <v>13.821099999999999</v>
      </c>
      <c r="K63" s="94">
        <v>16.189499999999999</v>
      </c>
      <c r="L63" s="94">
        <v>18.028700000000001</v>
      </c>
      <c r="M63" s="94">
        <v>19.0916</v>
      </c>
      <c r="N63" s="95">
        <v>19.2669</v>
      </c>
      <c r="O63" s="96">
        <v>16.655000000000001</v>
      </c>
    </row>
    <row r="64" spans="1:15" ht="15" x14ac:dyDescent="0.25">
      <c r="A64" s="40">
        <f t="shared" si="23"/>
        <v>255</v>
      </c>
      <c r="B64" s="108">
        <v>55</v>
      </c>
      <c r="C64" s="93">
        <v>18.952400000000001</v>
      </c>
      <c r="D64" s="94">
        <v>18.303000000000001</v>
      </c>
      <c r="E64" s="94">
        <v>18.462</v>
      </c>
      <c r="F64" s="94">
        <v>17.0124</v>
      </c>
      <c r="G64" s="94">
        <v>13.2547</v>
      </c>
      <c r="H64" s="94">
        <v>12.2212</v>
      </c>
      <c r="I64" s="94">
        <v>12.667299999999999</v>
      </c>
      <c r="J64" s="94">
        <v>13.7408</v>
      </c>
      <c r="K64" s="94">
        <v>15.867900000000001</v>
      </c>
      <c r="L64" s="94">
        <v>17.334599999999998</v>
      </c>
      <c r="M64" s="94">
        <v>17.9724</v>
      </c>
      <c r="N64" s="95">
        <v>17.9543</v>
      </c>
      <c r="O64" s="96">
        <v>16.131699999999999</v>
      </c>
    </row>
    <row r="65" spans="1:16" ht="15" x14ac:dyDescent="0.25">
      <c r="A65" s="40">
        <f t="shared" si="23"/>
        <v>260</v>
      </c>
      <c r="B65" s="108">
        <v>60</v>
      </c>
      <c r="C65" s="93">
        <v>17.535799999999998</v>
      </c>
      <c r="D65" s="94">
        <v>17.308700000000002</v>
      </c>
      <c r="E65" s="94">
        <v>17.837499999999999</v>
      </c>
      <c r="F65" s="94">
        <v>16.741700000000002</v>
      </c>
      <c r="G65" s="94">
        <v>13.174300000000001</v>
      </c>
      <c r="H65" s="94">
        <v>12.213100000000001</v>
      </c>
      <c r="I65" s="94">
        <v>12.635899999999999</v>
      </c>
      <c r="J65" s="94">
        <v>13.577999999999999</v>
      </c>
      <c r="K65" s="94">
        <v>15.453200000000001</v>
      </c>
      <c r="L65" s="94">
        <v>16.541699999999999</v>
      </c>
      <c r="M65" s="94">
        <v>16.802</v>
      </c>
      <c r="N65" s="95">
        <v>16.5823</v>
      </c>
      <c r="O65" s="96">
        <v>15.521599999999999</v>
      </c>
    </row>
    <row r="66" spans="1:16" ht="15" x14ac:dyDescent="0.25">
      <c r="A66" s="40">
        <f t="shared" si="23"/>
        <v>265</v>
      </c>
      <c r="B66" s="108">
        <v>65</v>
      </c>
      <c r="C66" s="93">
        <v>16.042000000000002</v>
      </c>
      <c r="D66" s="94">
        <v>16.2196</v>
      </c>
      <c r="E66" s="94">
        <v>17.1084</v>
      </c>
      <c r="F66" s="94">
        <v>16.368300000000001</v>
      </c>
      <c r="G66" s="94">
        <v>13.013999999999999</v>
      </c>
      <c r="H66" s="94">
        <v>12.131600000000001</v>
      </c>
      <c r="I66" s="94">
        <v>12.5283</v>
      </c>
      <c r="J66" s="94">
        <v>13.3339</v>
      </c>
      <c r="K66" s="94">
        <v>14.948399999999999</v>
      </c>
      <c r="L66" s="94">
        <v>15.657999999999999</v>
      </c>
      <c r="M66" s="94">
        <v>15.5596</v>
      </c>
      <c r="N66" s="95">
        <v>15.1448</v>
      </c>
      <c r="O66" s="96">
        <v>14.8277</v>
      </c>
    </row>
    <row r="67" spans="1:16" ht="15" x14ac:dyDescent="0.25">
      <c r="A67" s="40">
        <f t="shared" si="23"/>
        <v>270</v>
      </c>
      <c r="B67" s="108">
        <v>70</v>
      </c>
      <c r="C67" s="93">
        <v>14.492900000000001</v>
      </c>
      <c r="D67" s="94">
        <v>15.0441</v>
      </c>
      <c r="E67" s="94">
        <v>16.2803</v>
      </c>
      <c r="F67" s="94">
        <v>15.895099999999999</v>
      </c>
      <c r="G67" s="94">
        <v>12.775600000000001</v>
      </c>
      <c r="H67" s="94">
        <v>11.978</v>
      </c>
      <c r="I67" s="94">
        <v>12.3462</v>
      </c>
      <c r="J67" s="94">
        <v>13.0105</v>
      </c>
      <c r="K67" s="94">
        <v>14.3573</v>
      </c>
      <c r="L67" s="94">
        <v>14.696199999999999</v>
      </c>
      <c r="M67" s="94">
        <v>14.2394</v>
      </c>
      <c r="N67" s="95">
        <v>13.632199999999999</v>
      </c>
      <c r="O67" s="96">
        <v>14.053699999999999</v>
      </c>
    </row>
    <row r="68" spans="1:16" ht="15" x14ac:dyDescent="0.25">
      <c r="A68" s="40">
        <f t="shared" si="23"/>
        <v>275</v>
      </c>
      <c r="B68" s="108">
        <v>75</v>
      </c>
      <c r="C68" s="93">
        <v>12.944599999999999</v>
      </c>
      <c r="D68" s="94">
        <v>13.792999999999999</v>
      </c>
      <c r="E68" s="94">
        <v>15.359500000000001</v>
      </c>
      <c r="F68" s="94">
        <v>15.325799999999999</v>
      </c>
      <c r="G68" s="94">
        <v>12.460800000000001</v>
      </c>
      <c r="H68" s="94">
        <v>11.7539</v>
      </c>
      <c r="I68" s="94">
        <v>12.0914</v>
      </c>
      <c r="J68" s="94">
        <v>12.610200000000001</v>
      </c>
      <c r="K68" s="94">
        <v>13.6846</v>
      </c>
      <c r="L68" s="94">
        <v>13.6633</v>
      </c>
      <c r="M68" s="94">
        <v>12.848599999999999</v>
      </c>
      <c r="N68" s="95">
        <v>12.0892</v>
      </c>
      <c r="O68" s="96">
        <v>13.212</v>
      </c>
    </row>
    <row r="69" spans="1:16" ht="15" x14ac:dyDescent="0.25">
      <c r="A69" s="40">
        <f t="shared" si="23"/>
        <v>280</v>
      </c>
      <c r="B69" s="108">
        <v>80</v>
      </c>
      <c r="C69" s="93">
        <v>11.3666</v>
      </c>
      <c r="D69" s="94">
        <v>12.4954</v>
      </c>
      <c r="E69" s="94">
        <v>14.353</v>
      </c>
      <c r="F69" s="94">
        <v>14.6646</v>
      </c>
      <c r="G69" s="94">
        <v>12.072100000000001</v>
      </c>
      <c r="H69" s="94">
        <v>11.460800000000001</v>
      </c>
      <c r="I69" s="94">
        <v>11.765599999999999</v>
      </c>
      <c r="J69" s="94">
        <v>12.135999999999999</v>
      </c>
      <c r="K69" s="94">
        <v>12.9352</v>
      </c>
      <c r="L69" s="94">
        <v>12.563700000000001</v>
      </c>
      <c r="M69" s="94">
        <v>11.402799999999999</v>
      </c>
      <c r="N69" s="95">
        <v>10.558999999999999</v>
      </c>
      <c r="O69" s="96">
        <v>12.309799999999999</v>
      </c>
    </row>
    <row r="70" spans="1:16" ht="15" x14ac:dyDescent="0.25">
      <c r="A70" s="40">
        <f t="shared" si="23"/>
        <v>285</v>
      </c>
      <c r="B70" s="109">
        <v>85</v>
      </c>
      <c r="C70" s="101">
        <v>9.7632999999999992</v>
      </c>
      <c r="D70" s="102">
        <v>11.165800000000001</v>
      </c>
      <c r="E70" s="102">
        <v>13.2685</v>
      </c>
      <c r="F70" s="102">
        <v>13.916499999999999</v>
      </c>
      <c r="G70" s="102">
        <v>11.6122</v>
      </c>
      <c r="H70" s="102">
        <v>11.100300000000001</v>
      </c>
      <c r="I70" s="102">
        <v>11.370699999999999</v>
      </c>
      <c r="J70" s="102">
        <v>11.5915</v>
      </c>
      <c r="K70" s="102">
        <v>12.1149</v>
      </c>
      <c r="L70" s="102">
        <v>11.404299999999999</v>
      </c>
      <c r="M70" s="102">
        <v>9.9735999999999994</v>
      </c>
      <c r="N70" s="103">
        <v>9.0754999999999999</v>
      </c>
      <c r="O70" s="104">
        <v>11.360200000000001</v>
      </c>
    </row>
    <row r="71" spans="1:16" x14ac:dyDescent="0.2">
      <c r="A71" s="40">
        <f t="shared" si="23"/>
        <v>290</v>
      </c>
      <c r="B71" s="40">
        <v>90</v>
      </c>
    </row>
    <row r="72" spans="1:16" x14ac:dyDescent="0.2">
      <c r="A72" s="40">
        <f t="shared" si="23"/>
        <v>291</v>
      </c>
      <c r="B72" s="40">
        <v>91</v>
      </c>
      <c r="C72" s="111">
        <f>T3</f>
        <v>22.7</v>
      </c>
      <c r="D72" s="111">
        <f t="shared" ref="D72:O72" si="24">U3</f>
        <v>22.3</v>
      </c>
      <c r="E72" s="111">
        <f t="shared" si="24"/>
        <v>20.5</v>
      </c>
      <c r="F72" s="111">
        <f t="shared" si="24"/>
        <v>17.2</v>
      </c>
      <c r="G72" s="111">
        <f t="shared" si="24"/>
        <v>13.9</v>
      </c>
      <c r="H72" s="111">
        <f t="shared" si="24"/>
        <v>11</v>
      </c>
      <c r="I72" s="111">
        <f t="shared" si="24"/>
        <v>10.7</v>
      </c>
      <c r="J72" s="111">
        <f t="shared" si="24"/>
        <v>11.5</v>
      </c>
      <c r="K72" s="111">
        <f t="shared" si="24"/>
        <v>13.2</v>
      </c>
      <c r="L72" s="111">
        <f t="shared" si="24"/>
        <v>15.7</v>
      </c>
      <c r="M72" s="111">
        <f t="shared" si="24"/>
        <v>18.3</v>
      </c>
      <c r="N72" s="111">
        <f t="shared" si="24"/>
        <v>21.1</v>
      </c>
      <c r="O72" s="111">
        <f t="shared" si="24"/>
        <v>16.5</v>
      </c>
      <c r="P72" s="344" t="s">
        <v>684</v>
      </c>
    </row>
    <row r="73" spans="1:16" x14ac:dyDescent="0.2">
      <c r="A73" s="40">
        <f t="shared" si="23"/>
        <v>292</v>
      </c>
      <c r="B73" s="40">
        <v>92</v>
      </c>
      <c r="C73" s="343">
        <f>T27</f>
        <v>28.4</v>
      </c>
      <c r="D73" s="343">
        <f t="shared" ref="D73:O73" si="25">U27</f>
        <v>28.5</v>
      </c>
      <c r="E73" s="343">
        <f t="shared" si="25"/>
        <v>26.1</v>
      </c>
      <c r="F73" s="343">
        <f t="shared" si="25"/>
        <v>21.7</v>
      </c>
      <c r="G73" s="343">
        <f t="shared" si="25"/>
        <v>16.600000000000001</v>
      </c>
      <c r="H73" s="343">
        <f t="shared" si="25"/>
        <v>12</v>
      </c>
      <c r="I73" s="343">
        <f t="shared" si="25"/>
        <v>9.3000000000000007</v>
      </c>
      <c r="J73" s="343">
        <f t="shared" si="25"/>
        <v>9.1999999999999993</v>
      </c>
      <c r="K73" s="343">
        <f t="shared" si="25"/>
        <v>11.7</v>
      </c>
      <c r="L73" s="343">
        <f t="shared" si="25"/>
        <v>16.100000000000001</v>
      </c>
      <c r="M73" s="343">
        <f t="shared" si="25"/>
        <v>21.3</v>
      </c>
      <c r="N73" s="343">
        <f t="shared" si="25"/>
        <v>25.8</v>
      </c>
      <c r="O73" s="343">
        <f t="shared" si="25"/>
        <v>0</v>
      </c>
    </row>
    <row r="75" spans="1:16" ht="15.75" x14ac:dyDescent="0.25">
      <c r="B75" s="89" t="s">
        <v>624</v>
      </c>
      <c r="C75"/>
      <c r="D75"/>
      <c r="E75"/>
      <c r="F75"/>
      <c r="G75" s="955" t="s">
        <v>613</v>
      </c>
      <c r="H75" s="955"/>
      <c r="I75" s="955"/>
      <c r="J75" s="955"/>
      <c r="K75" s="955"/>
      <c r="L75" s="955"/>
      <c r="M75" s="955"/>
      <c r="N75" s="955"/>
      <c r="O75" s="105">
        <v>3</v>
      </c>
    </row>
    <row r="76" spans="1:16" ht="15" x14ac:dyDescent="0.25">
      <c r="B76" t="s">
        <v>614</v>
      </c>
      <c r="C76" t="s">
        <v>625</v>
      </c>
      <c r="D76" t="s">
        <v>616</v>
      </c>
      <c r="E76" t="s">
        <v>626</v>
      </c>
      <c r="F76"/>
      <c r="G76" s="956" t="s">
        <v>618</v>
      </c>
      <c r="H76" s="956"/>
      <c r="I76" s="956"/>
      <c r="J76" s="956"/>
      <c r="K76" s="956"/>
      <c r="L76" s="956"/>
      <c r="M76" s="956"/>
      <c r="N76" s="956"/>
      <c r="O76" s="956"/>
    </row>
    <row r="77" spans="1:16" ht="15" x14ac:dyDescent="0.25">
      <c r="B77" s="90" t="s">
        <v>619</v>
      </c>
      <c r="C77" s="91" t="s">
        <v>4</v>
      </c>
      <c r="D77" s="91" t="s">
        <v>5</v>
      </c>
      <c r="E77" s="91" t="s">
        <v>6</v>
      </c>
      <c r="F77" s="91" t="s">
        <v>7</v>
      </c>
      <c r="G77" s="91" t="s">
        <v>8</v>
      </c>
      <c r="H77" s="91" t="s">
        <v>9</v>
      </c>
      <c r="I77" s="91" t="s">
        <v>10</v>
      </c>
      <c r="J77" s="91" t="s">
        <v>11</v>
      </c>
      <c r="K77" s="91" t="s">
        <v>12</v>
      </c>
      <c r="L77" s="91" t="s">
        <v>13</v>
      </c>
      <c r="M77" s="91" t="s">
        <v>14</v>
      </c>
      <c r="N77" s="91" t="s">
        <v>15</v>
      </c>
      <c r="O77" s="92" t="s">
        <v>620</v>
      </c>
    </row>
    <row r="78" spans="1:16" ht="15" x14ac:dyDescent="0.25">
      <c r="A78" s="40">
        <f>O$75*100+B78</f>
        <v>300</v>
      </c>
      <c r="B78" s="108">
        <v>0</v>
      </c>
      <c r="C78" s="93">
        <v>25.607299999999999</v>
      </c>
      <c r="D78" s="94">
        <v>21.482600000000001</v>
      </c>
      <c r="E78" s="94">
        <v>17.911200000000001</v>
      </c>
      <c r="F78" s="94">
        <v>13.697800000000001</v>
      </c>
      <c r="G78" s="94">
        <v>9.9558999999999997</v>
      </c>
      <c r="H78" s="94">
        <v>8.0942000000000007</v>
      </c>
      <c r="I78" s="94">
        <v>9.1023999999999994</v>
      </c>
      <c r="J78" s="94">
        <v>10.8788</v>
      </c>
      <c r="K78" s="94">
        <v>14.355</v>
      </c>
      <c r="L78" s="94">
        <v>18.823599999999999</v>
      </c>
      <c r="M78" s="94">
        <v>23.4389</v>
      </c>
      <c r="N78" s="95">
        <v>25.499400000000001</v>
      </c>
      <c r="O78" s="96">
        <v>16.5486</v>
      </c>
    </row>
    <row r="79" spans="1:16" ht="15" x14ac:dyDescent="0.25">
      <c r="A79" s="40">
        <f t="shared" ref="A79:A98" si="26">O$75*100+B79</f>
        <v>305</v>
      </c>
      <c r="B79" s="108">
        <v>5</v>
      </c>
      <c r="C79" s="93">
        <v>25.645399999999999</v>
      </c>
      <c r="D79" s="94">
        <v>21.773599999999998</v>
      </c>
      <c r="E79" s="94">
        <v>18.4971</v>
      </c>
      <c r="F79" s="94">
        <v>14.496499999999999</v>
      </c>
      <c r="G79" s="94">
        <v>10.7065</v>
      </c>
      <c r="H79" s="94">
        <v>8.7798999999999996</v>
      </c>
      <c r="I79" s="94">
        <v>9.8961000000000006</v>
      </c>
      <c r="J79" s="94">
        <v>11.560499999999999</v>
      </c>
      <c r="K79" s="94">
        <v>14.956899999999999</v>
      </c>
      <c r="L79" s="94">
        <v>19.215</v>
      </c>
      <c r="M79" s="94">
        <v>23.5687</v>
      </c>
      <c r="N79" s="95">
        <v>25.4481</v>
      </c>
      <c r="O79" s="96">
        <v>17.024000000000001</v>
      </c>
    </row>
    <row r="80" spans="1:16" ht="15" x14ac:dyDescent="0.25">
      <c r="A80" s="40">
        <f t="shared" si="26"/>
        <v>310</v>
      </c>
      <c r="B80" s="108">
        <v>10</v>
      </c>
      <c r="C80" s="93">
        <v>25.527999999999999</v>
      </c>
      <c r="D80" s="94">
        <v>21.936299999999999</v>
      </c>
      <c r="E80" s="94">
        <v>18.974699999999999</v>
      </c>
      <c r="F80" s="94">
        <v>15.210100000000001</v>
      </c>
      <c r="G80" s="94">
        <v>11.396599999999999</v>
      </c>
      <c r="H80" s="94">
        <v>9.4170999999999996</v>
      </c>
      <c r="I80" s="94">
        <v>10.632999999999999</v>
      </c>
      <c r="J80" s="94">
        <v>12.177</v>
      </c>
      <c r="K80" s="94">
        <v>15.472300000000001</v>
      </c>
      <c r="L80" s="94">
        <v>19.493200000000002</v>
      </c>
      <c r="M80" s="94">
        <v>23.556000000000001</v>
      </c>
      <c r="N80" s="95">
        <v>25.243099999999998</v>
      </c>
      <c r="O80" s="96">
        <v>17.3992</v>
      </c>
    </row>
    <row r="81" spans="1:15" ht="15" x14ac:dyDescent="0.25">
      <c r="A81" s="40">
        <f t="shared" si="26"/>
        <v>315</v>
      </c>
      <c r="B81" s="108">
        <v>15</v>
      </c>
      <c r="C81" s="93">
        <v>25.2559</v>
      </c>
      <c r="D81" s="94">
        <v>21.9693</v>
      </c>
      <c r="E81" s="94">
        <v>19.340299999999999</v>
      </c>
      <c r="F81" s="94">
        <v>15.8332</v>
      </c>
      <c r="G81" s="94">
        <v>12.021100000000001</v>
      </c>
      <c r="H81" s="94">
        <v>10.001099999999999</v>
      </c>
      <c r="I81" s="94">
        <v>11.307600000000001</v>
      </c>
      <c r="J81" s="94">
        <v>12.723800000000001</v>
      </c>
      <c r="K81" s="94">
        <v>15.897399999999999</v>
      </c>
      <c r="L81" s="94">
        <v>19.656099999999999</v>
      </c>
      <c r="M81" s="94">
        <v>23.4009</v>
      </c>
      <c r="N81" s="95">
        <v>24.886099999999999</v>
      </c>
      <c r="O81" s="96">
        <v>17.671299999999999</v>
      </c>
    </row>
    <row r="82" spans="1:15" ht="15" x14ac:dyDescent="0.25">
      <c r="A82" s="40">
        <f t="shared" si="26"/>
        <v>320</v>
      </c>
      <c r="B82" s="108">
        <v>20</v>
      </c>
      <c r="C82" s="93">
        <v>24.831299999999999</v>
      </c>
      <c r="D82" s="94">
        <v>21.872399999999999</v>
      </c>
      <c r="E82" s="94">
        <v>19.591200000000001</v>
      </c>
      <c r="F82" s="94">
        <v>16.361000000000001</v>
      </c>
      <c r="G82" s="94">
        <v>12.5753</v>
      </c>
      <c r="H82" s="94">
        <v>10.5274</v>
      </c>
      <c r="I82" s="94">
        <v>11.9147</v>
      </c>
      <c r="J82" s="94">
        <v>13.1966</v>
      </c>
      <c r="K82" s="94">
        <v>16.228899999999999</v>
      </c>
      <c r="L82" s="94">
        <v>19.702400000000001</v>
      </c>
      <c r="M82" s="94">
        <v>23.104700000000001</v>
      </c>
      <c r="N82" s="95">
        <v>24.3797</v>
      </c>
      <c r="O82" s="96">
        <v>17.8384</v>
      </c>
    </row>
    <row r="83" spans="1:15" ht="15" x14ac:dyDescent="0.25">
      <c r="A83" s="40">
        <f t="shared" si="26"/>
        <v>325</v>
      </c>
      <c r="B83" s="108">
        <v>25</v>
      </c>
      <c r="C83" s="97">
        <v>24.257400000000001</v>
      </c>
      <c r="D83" s="98">
        <v>21.6464</v>
      </c>
      <c r="E83" s="98">
        <v>19.7255</v>
      </c>
      <c r="F83" s="98">
        <v>16.7896</v>
      </c>
      <c r="G83" s="98">
        <v>13.0547</v>
      </c>
      <c r="H83" s="98">
        <v>10.992000000000001</v>
      </c>
      <c r="I83" s="98">
        <v>12.4498</v>
      </c>
      <c r="J83" s="98">
        <v>13.591699999999999</v>
      </c>
      <c r="K83" s="98">
        <v>16.464200000000002</v>
      </c>
      <c r="L83" s="98">
        <v>19.631699999999999</v>
      </c>
      <c r="M83" s="98">
        <v>22.669499999999999</v>
      </c>
      <c r="N83" s="99">
        <v>23.727900000000002</v>
      </c>
      <c r="O83" s="100">
        <v>17.899100000000001</v>
      </c>
    </row>
    <row r="84" spans="1:15" ht="15" x14ac:dyDescent="0.25">
      <c r="A84" s="40">
        <f t="shared" si="26"/>
        <v>330</v>
      </c>
      <c r="B84" s="108">
        <v>30</v>
      </c>
      <c r="C84" s="93">
        <v>23.538499999999999</v>
      </c>
      <c r="D84" s="94">
        <v>21.292899999999999</v>
      </c>
      <c r="E84" s="94">
        <v>19.742000000000001</v>
      </c>
      <c r="F84" s="94">
        <v>17.115600000000001</v>
      </c>
      <c r="G84" s="94">
        <v>13.456</v>
      </c>
      <c r="H84" s="94">
        <v>11.391400000000001</v>
      </c>
      <c r="I84" s="94">
        <v>12.9086</v>
      </c>
      <c r="J84" s="94">
        <v>13.9063</v>
      </c>
      <c r="K84" s="94">
        <v>16.601700000000001</v>
      </c>
      <c r="L84" s="94">
        <v>19.444700000000001</v>
      </c>
      <c r="M84" s="94">
        <v>22.098700000000001</v>
      </c>
      <c r="N84" s="95">
        <v>22.935600000000001</v>
      </c>
      <c r="O84" s="96">
        <v>17.852900000000002</v>
      </c>
    </row>
    <row r="85" spans="1:15" ht="15" x14ac:dyDescent="0.25">
      <c r="A85" s="40">
        <f t="shared" si="26"/>
        <v>335</v>
      </c>
      <c r="B85" s="108">
        <v>35</v>
      </c>
      <c r="C85" s="93">
        <v>22.680099999999999</v>
      </c>
      <c r="D85" s="94">
        <v>20.814599999999999</v>
      </c>
      <c r="E85" s="94">
        <v>19.640799999999999</v>
      </c>
      <c r="F85" s="94">
        <v>17.3367</v>
      </c>
      <c r="G85" s="94">
        <v>13.7759</v>
      </c>
      <c r="H85" s="94">
        <v>11.7225</v>
      </c>
      <c r="I85" s="94">
        <v>13.2879</v>
      </c>
      <c r="J85" s="94">
        <v>14.1379</v>
      </c>
      <c r="K85" s="94">
        <v>16.6402</v>
      </c>
      <c r="L85" s="94">
        <v>19.142800000000001</v>
      </c>
      <c r="M85" s="94">
        <v>21.396599999999999</v>
      </c>
      <c r="N85" s="95">
        <v>22.008900000000001</v>
      </c>
      <c r="O85" s="96">
        <v>17.700199999999999</v>
      </c>
    </row>
    <row r="86" spans="1:15" ht="15" x14ac:dyDescent="0.25">
      <c r="A86" s="40">
        <f t="shared" si="26"/>
        <v>340</v>
      </c>
      <c r="B86" s="108">
        <v>40</v>
      </c>
      <c r="C86" s="93">
        <v>21.6889</v>
      </c>
      <c r="D86" s="94">
        <v>20.215499999999999</v>
      </c>
      <c r="E86" s="94">
        <v>19.422599999999999</v>
      </c>
      <c r="F86" s="94">
        <v>17.451000000000001</v>
      </c>
      <c r="G86" s="94">
        <v>14.012</v>
      </c>
      <c r="H86" s="94">
        <v>11.982900000000001</v>
      </c>
      <c r="I86" s="94">
        <v>13.5845</v>
      </c>
      <c r="J86" s="94">
        <v>14.284800000000001</v>
      </c>
      <c r="K86" s="94">
        <v>16.5794</v>
      </c>
      <c r="L86" s="94">
        <v>18.728200000000001</v>
      </c>
      <c r="M86" s="94">
        <v>20.5686</v>
      </c>
      <c r="N86" s="95">
        <v>20.954699999999999</v>
      </c>
      <c r="O86" s="96">
        <v>17.442299999999999</v>
      </c>
    </row>
    <row r="87" spans="1:15" ht="15" x14ac:dyDescent="0.25">
      <c r="A87" s="40">
        <f t="shared" si="26"/>
        <v>345</v>
      </c>
      <c r="B87" s="108">
        <v>45</v>
      </c>
      <c r="C87" s="93">
        <v>20.598500000000001</v>
      </c>
      <c r="D87" s="94">
        <v>19.5107</v>
      </c>
      <c r="E87" s="94">
        <v>19.088899999999999</v>
      </c>
      <c r="F87" s="94">
        <v>17.457799999999999</v>
      </c>
      <c r="G87" s="94">
        <v>14.162599999999999</v>
      </c>
      <c r="H87" s="94">
        <v>12.170400000000001</v>
      </c>
      <c r="I87" s="94">
        <v>13.7942</v>
      </c>
      <c r="J87" s="94">
        <v>14.345800000000001</v>
      </c>
      <c r="K87" s="94">
        <v>16.419799999999999</v>
      </c>
      <c r="L87" s="94">
        <v>18.2041</v>
      </c>
      <c r="M87" s="94">
        <v>19.620899999999999</v>
      </c>
      <c r="N87" s="95">
        <v>19.782</v>
      </c>
      <c r="O87" s="96">
        <v>17.0839</v>
      </c>
    </row>
    <row r="88" spans="1:15" ht="15" x14ac:dyDescent="0.25">
      <c r="A88" s="40">
        <f t="shared" si="26"/>
        <v>350</v>
      </c>
      <c r="B88" s="108">
        <v>50</v>
      </c>
      <c r="C88" s="93">
        <v>19.4009</v>
      </c>
      <c r="D88" s="94">
        <v>18.695399999999999</v>
      </c>
      <c r="E88" s="94">
        <v>18.642499999999998</v>
      </c>
      <c r="F88" s="94">
        <v>17.356999999999999</v>
      </c>
      <c r="G88" s="94">
        <v>14.2265</v>
      </c>
      <c r="H88" s="94">
        <v>12.283799999999999</v>
      </c>
      <c r="I88" s="94">
        <v>13.915100000000001</v>
      </c>
      <c r="J88" s="94">
        <v>14.320499999999999</v>
      </c>
      <c r="K88" s="94">
        <v>16.162700000000001</v>
      </c>
      <c r="L88" s="94">
        <v>17.574400000000001</v>
      </c>
      <c r="M88" s="94">
        <v>18.568899999999999</v>
      </c>
      <c r="N88" s="95">
        <v>18.524000000000001</v>
      </c>
      <c r="O88" s="96">
        <v>16.628399999999999</v>
      </c>
    </row>
    <row r="89" spans="1:15" ht="15" x14ac:dyDescent="0.25">
      <c r="A89" s="40">
        <f t="shared" si="26"/>
        <v>355</v>
      </c>
      <c r="B89" s="108">
        <v>55</v>
      </c>
      <c r="C89" s="93">
        <v>18.095600000000001</v>
      </c>
      <c r="D89" s="94">
        <v>17.775099999999998</v>
      </c>
      <c r="E89" s="94">
        <v>18.086600000000001</v>
      </c>
      <c r="F89" s="94">
        <v>17.1493</v>
      </c>
      <c r="G89" s="94">
        <v>14.2026</v>
      </c>
      <c r="H89" s="94">
        <v>12.321999999999999</v>
      </c>
      <c r="I89" s="94">
        <v>13.9481</v>
      </c>
      <c r="J89" s="94">
        <v>14.209</v>
      </c>
      <c r="K89" s="94">
        <v>15.81</v>
      </c>
      <c r="L89" s="94">
        <v>16.8447</v>
      </c>
      <c r="M89" s="94">
        <v>17.440100000000001</v>
      </c>
      <c r="N89" s="95">
        <v>17.223299999999998</v>
      </c>
      <c r="O89" s="96">
        <v>16.082899999999999</v>
      </c>
    </row>
    <row r="90" spans="1:15" ht="15" x14ac:dyDescent="0.25">
      <c r="A90" s="40">
        <f t="shared" si="26"/>
        <v>360</v>
      </c>
      <c r="B90" s="108">
        <v>60</v>
      </c>
      <c r="C90" s="93">
        <v>16.709199999999999</v>
      </c>
      <c r="D90" s="94">
        <v>16.756799999999998</v>
      </c>
      <c r="E90" s="94">
        <v>17.425599999999999</v>
      </c>
      <c r="F90" s="94">
        <v>16.836400000000001</v>
      </c>
      <c r="G90" s="94">
        <v>14.091200000000001</v>
      </c>
      <c r="H90" s="94">
        <v>12.285</v>
      </c>
      <c r="I90" s="94">
        <v>13.893800000000001</v>
      </c>
      <c r="J90" s="94">
        <v>14.0122</v>
      </c>
      <c r="K90" s="94">
        <v>15.3643</v>
      </c>
      <c r="L90" s="94">
        <v>16.024000000000001</v>
      </c>
      <c r="M90" s="94">
        <v>16.2315</v>
      </c>
      <c r="N90" s="95">
        <v>15.850899999999999</v>
      </c>
      <c r="O90" s="96">
        <v>15.4491</v>
      </c>
    </row>
    <row r="91" spans="1:15" ht="15" x14ac:dyDescent="0.25">
      <c r="A91" s="40">
        <f t="shared" si="26"/>
        <v>365</v>
      </c>
      <c r="B91" s="108">
        <v>65</v>
      </c>
      <c r="C91" s="93">
        <v>15.2598</v>
      </c>
      <c r="D91" s="94">
        <v>15.648300000000001</v>
      </c>
      <c r="E91" s="94">
        <v>16.664300000000001</v>
      </c>
      <c r="F91" s="94">
        <v>16.4206</v>
      </c>
      <c r="G91" s="94">
        <v>13.893800000000001</v>
      </c>
      <c r="H91" s="94">
        <v>12.172800000000001</v>
      </c>
      <c r="I91" s="94">
        <v>13.753399999999999</v>
      </c>
      <c r="J91" s="94">
        <v>13.7317</v>
      </c>
      <c r="K91" s="94">
        <v>14.8291</v>
      </c>
      <c r="L91" s="94">
        <v>15.1175</v>
      </c>
      <c r="M91" s="94">
        <v>14.948600000000001</v>
      </c>
      <c r="N91" s="95">
        <v>14.398</v>
      </c>
      <c r="O91" s="96">
        <v>14.730600000000001</v>
      </c>
    </row>
    <row r="92" spans="1:15" ht="15" x14ac:dyDescent="0.25">
      <c r="A92" s="40">
        <f t="shared" si="26"/>
        <v>370</v>
      </c>
      <c r="B92" s="108">
        <v>70</v>
      </c>
      <c r="C92" s="93">
        <v>13.748900000000001</v>
      </c>
      <c r="D92" s="94">
        <v>14.4604</v>
      </c>
      <c r="E92" s="94">
        <v>15.8087</v>
      </c>
      <c r="F92" s="94">
        <v>15.905099999999999</v>
      </c>
      <c r="G92" s="94">
        <v>13.6122</v>
      </c>
      <c r="H92" s="94">
        <v>11.986499999999999</v>
      </c>
      <c r="I92" s="94">
        <v>13.528499999999999</v>
      </c>
      <c r="J92" s="94">
        <v>13.3695</v>
      </c>
      <c r="K92" s="94">
        <v>14.208399999999999</v>
      </c>
      <c r="L92" s="94">
        <v>14.132099999999999</v>
      </c>
      <c r="M92" s="94">
        <v>13.5966</v>
      </c>
      <c r="N92" s="95">
        <v>12.875500000000001</v>
      </c>
      <c r="O92" s="96">
        <v>13.931900000000001</v>
      </c>
    </row>
    <row r="93" spans="1:15" ht="15" x14ac:dyDescent="0.25">
      <c r="A93" s="40">
        <f t="shared" si="26"/>
        <v>375</v>
      </c>
      <c r="B93" s="108">
        <v>75</v>
      </c>
      <c r="C93" s="93">
        <v>12.218400000000001</v>
      </c>
      <c r="D93" s="94">
        <v>13.2113</v>
      </c>
      <c r="E93" s="94">
        <v>14.8653</v>
      </c>
      <c r="F93" s="94">
        <v>15.293799999999999</v>
      </c>
      <c r="G93" s="94">
        <v>13.248699999999999</v>
      </c>
      <c r="H93" s="94">
        <v>11.7273</v>
      </c>
      <c r="I93" s="94">
        <v>13.221</v>
      </c>
      <c r="J93" s="94">
        <v>12.9283</v>
      </c>
      <c r="K93" s="94">
        <v>13.507</v>
      </c>
      <c r="L93" s="94">
        <v>13.0791</v>
      </c>
      <c r="M93" s="94">
        <v>12.1785</v>
      </c>
      <c r="N93" s="95">
        <v>11.3301</v>
      </c>
      <c r="O93" s="96">
        <v>13.065</v>
      </c>
    </row>
    <row r="94" spans="1:15" ht="15" x14ac:dyDescent="0.25">
      <c r="A94" s="40">
        <f t="shared" si="26"/>
        <v>380</v>
      </c>
      <c r="B94" s="108">
        <v>80</v>
      </c>
      <c r="C94" s="93">
        <v>10.6762</v>
      </c>
      <c r="D94" s="94">
        <v>11.916</v>
      </c>
      <c r="E94" s="94">
        <v>13.841100000000001</v>
      </c>
      <c r="F94" s="94">
        <v>14.5913</v>
      </c>
      <c r="G94" s="94">
        <v>12.805999999999999</v>
      </c>
      <c r="H94" s="94">
        <v>11.3973</v>
      </c>
      <c r="I94" s="94">
        <v>12.8331</v>
      </c>
      <c r="J94" s="94">
        <v>12.4117</v>
      </c>
      <c r="K94" s="94">
        <v>12.7302</v>
      </c>
      <c r="L94" s="94">
        <v>11.963900000000001</v>
      </c>
      <c r="M94" s="94">
        <v>10.736800000000001</v>
      </c>
      <c r="N94" s="95">
        <v>9.8711000000000002</v>
      </c>
      <c r="O94" s="96">
        <v>12.147399999999999</v>
      </c>
    </row>
    <row r="95" spans="1:15" ht="15" x14ac:dyDescent="0.25">
      <c r="A95" s="40">
        <f t="shared" si="26"/>
        <v>385</v>
      </c>
      <c r="B95" s="109">
        <v>85</v>
      </c>
      <c r="C95" s="101">
        <v>9.1374999999999993</v>
      </c>
      <c r="D95" s="102">
        <v>10.5884</v>
      </c>
      <c r="E95" s="102">
        <v>12.7441</v>
      </c>
      <c r="F95" s="102">
        <v>13.803100000000001</v>
      </c>
      <c r="G95" s="102">
        <v>12.2872</v>
      </c>
      <c r="H95" s="102">
        <v>10.999000000000001</v>
      </c>
      <c r="I95" s="102">
        <v>12.3674</v>
      </c>
      <c r="J95" s="102">
        <v>11.823399999999999</v>
      </c>
      <c r="K95" s="102">
        <v>11.883900000000001</v>
      </c>
      <c r="L95" s="102">
        <v>10.792400000000001</v>
      </c>
      <c r="M95" s="102">
        <v>9.3101000000000003</v>
      </c>
      <c r="N95" s="103">
        <v>8.3901000000000003</v>
      </c>
      <c r="O95" s="104">
        <v>11.1785</v>
      </c>
    </row>
    <row r="96" spans="1:15" x14ac:dyDescent="0.2">
      <c r="A96" s="40">
        <f t="shared" si="26"/>
        <v>390</v>
      </c>
      <c r="B96" s="40">
        <v>90</v>
      </c>
    </row>
    <row r="97" spans="1:16" x14ac:dyDescent="0.2">
      <c r="A97" s="40">
        <f t="shared" si="26"/>
        <v>391</v>
      </c>
      <c r="B97" s="40">
        <v>91</v>
      </c>
      <c r="C97" s="107">
        <f>T4</f>
        <v>23.2</v>
      </c>
      <c r="D97" s="107">
        <f t="shared" ref="D97:O97" si="27">U4</f>
        <v>22.8</v>
      </c>
      <c r="E97" s="107">
        <f t="shared" si="27"/>
        <v>20.8</v>
      </c>
      <c r="F97" s="107">
        <f t="shared" si="27"/>
        <v>17.2</v>
      </c>
      <c r="G97" s="107">
        <f t="shared" si="27"/>
        <v>13.9</v>
      </c>
      <c r="H97" s="107">
        <f t="shared" si="27"/>
        <v>11.1</v>
      </c>
      <c r="I97" s="107">
        <f t="shared" si="27"/>
        <v>11.5</v>
      </c>
      <c r="J97" s="107">
        <f t="shared" si="27"/>
        <v>12.4</v>
      </c>
      <c r="K97" s="107">
        <f t="shared" si="27"/>
        <v>14.1</v>
      </c>
      <c r="L97" s="107">
        <f t="shared" si="27"/>
        <v>16.899999999999999</v>
      </c>
      <c r="M97" s="107">
        <f t="shared" si="27"/>
        <v>18.899999999999999</v>
      </c>
      <c r="N97" s="107">
        <f t="shared" si="27"/>
        <v>21.7</v>
      </c>
      <c r="O97" s="107">
        <f t="shared" si="27"/>
        <v>17</v>
      </c>
      <c r="P97" s="41" t="s">
        <v>679</v>
      </c>
    </row>
    <row r="98" spans="1:16" x14ac:dyDescent="0.2">
      <c r="A98" s="40">
        <f t="shared" si="26"/>
        <v>392</v>
      </c>
      <c r="B98" s="40">
        <v>92</v>
      </c>
      <c r="C98" s="343">
        <f>T28</f>
        <v>28.4</v>
      </c>
      <c r="D98" s="343">
        <f t="shared" ref="D98:O98" si="28">U28</f>
        <v>28.5</v>
      </c>
      <c r="E98" s="343">
        <f t="shared" si="28"/>
        <v>26.1</v>
      </c>
      <c r="F98" s="343">
        <f t="shared" si="28"/>
        <v>21.7</v>
      </c>
      <c r="G98" s="343">
        <f t="shared" si="28"/>
        <v>16.600000000000001</v>
      </c>
      <c r="H98" s="343">
        <f t="shared" si="28"/>
        <v>12</v>
      </c>
      <c r="I98" s="343">
        <f t="shared" si="28"/>
        <v>9.3000000000000007</v>
      </c>
      <c r="J98" s="343">
        <f t="shared" si="28"/>
        <v>9.1999999999999993</v>
      </c>
      <c r="K98" s="343">
        <f t="shared" si="28"/>
        <v>11.7</v>
      </c>
      <c r="L98" s="343">
        <f t="shared" si="28"/>
        <v>16.100000000000001</v>
      </c>
      <c r="M98" s="343">
        <f t="shared" si="28"/>
        <v>21.3</v>
      </c>
      <c r="N98" s="343">
        <f t="shared" si="28"/>
        <v>25.8</v>
      </c>
      <c r="O98" s="343">
        <f t="shared" si="28"/>
        <v>0</v>
      </c>
    </row>
    <row r="100" spans="1:16" ht="15.75" x14ac:dyDescent="0.25">
      <c r="B100" s="115" t="s">
        <v>627</v>
      </c>
      <c r="C100" s="114"/>
      <c r="D100" s="114"/>
      <c r="E100" s="114"/>
      <c r="F100" s="114"/>
      <c r="G100" s="957" t="s">
        <v>613</v>
      </c>
      <c r="H100" s="957"/>
      <c r="I100" s="957"/>
      <c r="J100" s="957"/>
      <c r="K100" s="957"/>
      <c r="L100" s="957"/>
      <c r="M100" s="957"/>
      <c r="N100" s="957"/>
      <c r="O100" s="105">
        <v>4</v>
      </c>
    </row>
    <row r="101" spans="1:16" ht="14.25" x14ac:dyDescent="0.2">
      <c r="B101" s="114" t="s">
        <v>614</v>
      </c>
      <c r="C101" s="114" t="s">
        <v>628</v>
      </c>
      <c r="D101" s="114" t="s">
        <v>616</v>
      </c>
      <c r="E101" s="114" t="s">
        <v>629</v>
      </c>
      <c r="F101" s="114"/>
      <c r="G101" s="958" t="s">
        <v>618</v>
      </c>
      <c r="H101" s="958"/>
      <c r="I101" s="958"/>
      <c r="J101" s="958"/>
      <c r="K101" s="958"/>
      <c r="L101" s="958"/>
      <c r="M101" s="958"/>
      <c r="N101" s="958"/>
      <c r="O101" s="958"/>
    </row>
    <row r="102" spans="1:16" ht="15" x14ac:dyDescent="0.25">
      <c r="B102" s="116" t="s">
        <v>619</v>
      </c>
      <c r="C102" s="91" t="s">
        <v>4</v>
      </c>
      <c r="D102" s="91" t="s">
        <v>5</v>
      </c>
      <c r="E102" s="91" t="s">
        <v>6</v>
      </c>
      <c r="F102" s="91" t="s">
        <v>7</v>
      </c>
      <c r="G102" s="91" t="s">
        <v>8</v>
      </c>
      <c r="H102" s="91" t="s">
        <v>9</v>
      </c>
      <c r="I102" s="91" t="s">
        <v>10</v>
      </c>
      <c r="J102" s="91" t="s">
        <v>11</v>
      </c>
      <c r="K102" s="91" t="s">
        <v>12</v>
      </c>
      <c r="L102" s="91" t="s">
        <v>13</v>
      </c>
      <c r="M102" s="91" t="s">
        <v>14</v>
      </c>
      <c r="N102" s="91" t="s">
        <v>15</v>
      </c>
      <c r="O102" s="117" t="s">
        <v>620</v>
      </c>
    </row>
    <row r="103" spans="1:16" ht="15" x14ac:dyDescent="0.25">
      <c r="A103" s="40">
        <f>O$100*100+B103</f>
        <v>400</v>
      </c>
      <c r="B103" s="108">
        <v>0</v>
      </c>
      <c r="C103" s="118">
        <v>26.248999999999999</v>
      </c>
      <c r="D103" s="119">
        <v>21.798300000000001</v>
      </c>
      <c r="E103" s="119">
        <v>17.965399999999999</v>
      </c>
      <c r="F103" s="119">
        <v>13.404299999999999</v>
      </c>
      <c r="G103" s="119">
        <v>9.3945000000000007</v>
      </c>
      <c r="H103" s="119">
        <v>7.6936</v>
      </c>
      <c r="I103" s="119">
        <v>8.4921000000000006</v>
      </c>
      <c r="J103" s="119">
        <v>10.7837</v>
      </c>
      <c r="K103" s="119">
        <v>14.641500000000001</v>
      </c>
      <c r="L103" s="119">
        <v>19.072800000000001</v>
      </c>
      <c r="M103" s="119">
        <v>23.743400000000001</v>
      </c>
      <c r="N103" s="120">
        <v>26.014900000000001</v>
      </c>
      <c r="O103" s="121">
        <v>16.5808</v>
      </c>
    </row>
    <row r="104" spans="1:16" ht="15" x14ac:dyDescent="0.25">
      <c r="A104" s="40">
        <f t="shared" ref="A104:A123" si="29">O$100*100+B104</f>
        <v>405</v>
      </c>
      <c r="B104" s="108">
        <v>5</v>
      </c>
      <c r="C104" s="118">
        <v>26.305599999999998</v>
      </c>
      <c r="D104" s="119">
        <v>22.146699999999999</v>
      </c>
      <c r="E104" s="119">
        <v>18.6343</v>
      </c>
      <c r="F104" s="119">
        <v>14.240500000000001</v>
      </c>
      <c r="G104" s="119">
        <v>10.1638</v>
      </c>
      <c r="H104" s="119">
        <v>8.4082000000000008</v>
      </c>
      <c r="I104" s="119">
        <v>9.3089999999999993</v>
      </c>
      <c r="J104" s="119">
        <v>11.5183</v>
      </c>
      <c r="K104" s="119">
        <v>15.3104</v>
      </c>
      <c r="L104" s="119">
        <v>19.524000000000001</v>
      </c>
      <c r="M104" s="119">
        <v>23.9253</v>
      </c>
      <c r="N104" s="120">
        <v>25.980499999999999</v>
      </c>
      <c r="O104" s="121">
        <v>17.099</v>
      </c>
    </row>
    <row r="105" spans="1:16" ht="15" x14ac:dyDescent="0.25">
      <c r="A105" s="40">
        <f t="shared" si="29"/>
        <v>410</v>
      </c>
      <c r="B105" s="108">
        <v>10</v>
      </c>
      <c r="C105" s="118">
        <v>26.1996</v>
      </c>
      <c r="D105" s="119">
        <v>22.3626</v>
      </c>
      <c r="E105" s="119">
        <v>19.191400000000002</v>
      </c>
      <c r="F105" s="119">
        <v>14.992900000000001</v>
      </c>
      <c r="G105" s="119">
        <v>10.875500000000001</v>
      </c>
      <c r="H105" s="119">
        <v>9.0761000000000003</v>
      </c>
      <c r="I105" s="119">
        <v>10.071999999999999</v>
      </c>
      <c r="J105" s="119">
        <v>12.1873</v>
      </c>
      <c r="K105" s="119">
        <v>15.889699999999999</v>
      </c>
      <c r="L105" s="119">
        <v>19.859200000000001</v>
      </c>
      <c r="M105" s="119">
        <v>23.962199999999999</v>
      </c>
      <c r="N105" s="120">
        <v>25.787199999999999</v>
      </c>
      <c r="O105" s="121">
        <v>17.5154</v>
      </c>
    </row>
    <row r="106" spans="1:16" ht="15" x14ac:dyDescent="0.25">
      <c r="A106" s="40">
        <f t="shared" si="29"/>
        <v>415</v>
      </c>
      <c r="B106" s="108">
        <v>15</v>
      </c>
      <c r="C106" s="118">
        <v>25.932099999999998</v>
      </c>
      <c r="D106" s="119">
        <v>22.444400000000002</v>
      </c>
      <c r="E106" s="119">
        <v>19.6327</v>
      </c>
      <c r="F106" s="119">
        <v>15.6557</v>
      </c>
      <c r="G106" s="119">
        <v>11.524100000000001</v>
      </c>
      <c r="H106" s="119">
        <v>9.6920999999999999</v>
      </c>
      <c r="I106" s="119">
        <v>10.7753</v>
      </c>
      <c r="J106" s="119">
        <v>12.785500000000001</v>
      </c>
      <c r="K106" s="119">
        <v>16.375</v>
      </c>
      <c r="L106" s="119">
        <v>20.075900000000001</v>
      </c>
      <c r="M106" s="119">
        <v>23.8536</v>
      </c>
      <c r="N106" s="120">
        <v>25.436499999999999</v>
      </c>
      <c r="O106" s="121">
        <v>17.826699999999999</v>
      </c>
    </row>
    <row r="107" spans="1:16" ht="15" x14ac:dyDescent="0.25">
      <c r="A107" s="40">
        <f t="shared" si="29"/>
        <v>420</v>
      </c>
      <c r="B107" s="108">
        <v>20</v>
      </c>
      <c r="C107" s="118">
        <v>25.504799999999999</v>
      </c>
      <c r="D107" s="119">
        <v>22.391500000000001</v>
      </c>
      <c r="E107" s="119">
        <v>19.954499999999999</v>
      </c>
      <c r="F107" s="119">
        <v>16.223800000000001</v>
      </c>
      <c r="G107" s="119">
        <v>12.1046</v>
      </c>
      <c r="H107" s="119">
        <v>10.2516</v>
      </c>
      <c r="I107" s="119">
        <v>11.4137</v>
      </c>
      <c r="J107" s="119">
        <v>13.308299999999999</v>
      </c>
      <c r="K107" s="119">
        <v>16.762699999999999</v>
      </c>
      <c r="L107" s="119">
        <v>20.172499999999999</v>
      </c>
      <c r="M107" s="119">
        <v>23.6005</v>
      </c>
      <c r="N107" s="120">
        <v>24.931000000000001</v>
      </c>
      <c r="O107" s="121">
        <v>18.0307</v>
      </c>
    </row>
    <row r="108" spans="1:16" ht="15" x14ac:dyDescent="0.25">
      <c r="A108" s="40">
        <f t="shared" si="29"/>
        <v>425</v>
      </c>
      <c r="B108" s="108">
        <v>25</v>
      </c>
      <c r="C108" s="122">
        <v>24.921199999999999</v>
      </c>
      <c r="D108" s="123">
        <v>22.2043</v>
      </c>
      <c r="E108" s="123">
        <v>20.154699999999998</v>
      </c>
      <c r="F108" s="123">
        <v>16.692900000000002</v>
      </c>
      <c r="G108" s="123">
        <v>12.6128</v>
      </c>
      <c r="H108" s="123">
        <v>10.7502</v>
      </c>
      <c r="I108" s="123">
        <v>11.982100000000001</v>
      </c>
      <c r="J108" s="123">
        <v>13.751899999999999</v>
      </c>
      <c r="K108" s="123">
        <v>17.049600000000002</v>
      </c>
      <c r="L108" s="123">
        <v>20.148199999999999</v>
      </c>
      <c r="M108" s="123">
        <v>23.204799999999999</v>
      </c>
      <c r="N108" s="124">
        <v>24.276399999999999</v>
      </c>
      <c r="O108" s="125">
        <v>18.125800000000002</v>
      </c>
    </row>
    <row r="109" spans="1:16" ht="15" x14ac:dyDescent="0.25">
      <c r="A109" s="40">
        <f t="shared" si="29"/>
        <v>430</v>
      </c>
      <c r="B109" s="108">
        <v>30</v>
      </c>
      <c r="C109" s="118">
        <v>24.185700000000001</v>
      </c>
      <c r="D109" s="119">
        <v>21.8843</v>
      </c>
      <c r="E109" s="119">
        <v>20.2315</v>
      </c>
      <c r="F109" s="119">
        <v>17.0596</v>
      </c>
      <c r="G109" s="119">
        <v>13.044600000000001</v>
      </c>
      <c r="H109" s="119">
        <v>11.1843</v>
      </c>
      <c r="I109" s="119">
        <v>12.4764</v>
      </c>
      <c r="J109" s="119">
        <v>14.1128</v>
      </c>
      <c r="K109" s="119">
        <v>17.233799999999999</v>
      </c>
      <c r="L109" s="119">
        <v>20.0031</v>
      </c>
      <c r="M109" s="119">
        <v>22.669499999999999</v>
      </c>
      <c r="N109" s="120">
        <v>23.4938</v>
      </c>
      <c r="O109" s="121">
        <v>18.1128</v>
      </c>
    </row>
    <row r="110" spans="1:16" ht="15" x14ac:dyDescent="0.25">
      <c r="A110" s="40">
        <f t="shared" si="29"/>
        <v>435</v>
      </c>
      <c r="B110" s="108">
        <v>35</v>
      </c>
      <c r="C110" s="118">
        <v>23.323499999999999</v>
      </c>
      <c r="D110" s="119">
        <v>21.435600000000001</v>
      </c>
      <c r="E110" s="119">
        <v>20.1845</v>
      </c>
      <c r="F110" s="119">
        <v>17.320900000000002</v>
      </c>
      <c r="G110" s="119">
        <v>13.3969</v>
      </c>
      <c r="H110" s="119">
        <v>11.5505</v>
      </c>
      <c r="I110" s="119">
        <v>12.8927</v>
      </c>
      <c r="J110" s="119">
        <v>14.388299999999999</v>
      </c>
      <c r="K110" s="119">
        <v>17.313700000000001</v>
      </c>
      <c r="L110" s="119">
        <v>19.738499999999998</v>
      </c>
      <c r="M110" s="119">
        <v>21.9985</v>
      </c>
      <c r="N110" s="120">
        <v>22.586300000000001</v>
      </c>
      <c r="O110" s="121">
        <v>17.993200000000002</v>
      </c>
    </row>
    <row r="111" spans="1:16" ht="15" x14ac:dyDescent="0.25">
      <c r="A111" s="40">
        <f t="shared" si="29"/>
        <v>440</v>
      </c>
      <c r="B111" s="108">
        <v>40</v>
      </c>
      <c r="C111" s="118">
        <v>22.37</v>
      </c>
      <c r="D111" s="119">
        <v>20.864599999999999</v>
      </c>
      <c r="E111" s="119">
        <v>20.013999999999999</v>
      </c>
      <c r="F111" s="119">
        <v>17.474900000000002</v>
      </c>
      <c r="G111" s="119">
        <v>13.666700000000001</v>
      </c>
      <c r="H111" s="119">
        <v>11.8459</v>
      </c>
      <c r="I111" s="119">
        <v>13.223000000000001</v>
      </c>
      <c r="J111" s="119">
        <v>14.5763</v>
      </c>
      <c r="K111" s="119">
        <v>17.288699999999999</v>
      </c>
      <c r="L111" s="119">
        <v>19.356200000000001</v>
      </c>
      <c r="M111" s="119">
        <v>21.197199999999999</v>
      </c>
      <c r="N111" s="120">
        <v>21.548100000000002</v>
      </c>
      <c r="O111" s="121">
        <v>17.769300000000001</v>
      </c>
    </row>
    <row r="112" spans="1:16" ht="15" x14ac:dyDescent="0.25">
      <c r="A112" s="40">
        <f t="shared" si="29"/>
        <v>445</v>
      </c>
      <c r="B112" s="108">
        <v>45</v>
      </c>
      <c r="C112" s="118">
        <v>21.2913</v>
      </c>
      <c r="D112" s="119">
        <v>20.177399999999999</v>
      </c>
      <c r="E112" s="119">
        <v>19.7212</v>
      </c>
      <c r="F112" s="119">
        <v>17.520399999999999</v>
      </c>
      <c r="G112" s="119">
        <v>13.8497</v>
      </c>
      <c r="H112" s="119">
        <v>12.0603</v>
      </c>
      <c r="I112" s="119">
        <v>13.461600000000001</v>
      </c>
      <c r="J112" s="119">
        <v>14.6753</v>
      </c>
      <c r="K112" s="119">
        <v>17.159099999999999</v>
      </c>
      <c r="L112" s="119">
        <v>18.859300000000001</v>
      </c>
      <c r="M112" s="119">
        <v>20.2715</v>
      </c>
      <c r="N112" s="120">
        <v>20.4086</v>
      </c>
      <c r="O112" s="121">
        <v>17.440000000000001</v>
      </c>
    </row>
    <row r="113" spans="1:16" ht="15" x14ac:dyDescent="0.25">
      <c r="A113" s="40">
        <f t="shared" si="29"/>
        <v>450</v>
      </c>
      <c r="B113" s="108">
        <v>50</v>
      </c>
      <c r="C113" s="118">
        <v>20.0883</v>
      </c>
      <c r="D113" s="119">
        <v>19.372699999999998</v>
      </c>
      <c r="E113" s="119">
        <v>19.308499999999999</v>
      </c>
      <c r="F113" s="119">
        <v>17.457100000000001</v>
      </c>
      <c r="G113" s="119">
        <v>13.944900000000001</v>
      </c>
      <c r="H113" s="119">
        <v>12.1942</v>
      </c>
      <c r="I113" s="119">
        <v>13.6084</v>
      </c>
      <c r="J113" s="119">
        <v>14.684699999999999</v>
      </c>
      <c r="K113" s="119">
        <v>16.925899999999999</v>
      </c>
      <c r="L113" s="119">
        <v>18.2515</v>
      </c>
      <c r="M113" s="119">
        <v>19.232800000000001</v>
      </c>
      <c r="N113" s="120">
        <v>19.172499999999999</v>
      </c>
      <c r="O113" s="121">
        <v>17.007000000000001</v>
      </c>
    </row>
    <row r="114" spans="1:16" ht="15" x14ac:dyDescent="0.25">
      <c r="A114" s="40">
        <f t="shared" si="29"/>
        <v>455</v>
      </c>
      <c r="B114" s="108">
        <v>55</v>
      </c>
      <c r="C114" s="118">
        <v>18.770199999999999</v>
      </c>
      <c r="D114" s="119">
        <v>18.456700000000001</v>
      </c>
      <c r="E114" s="119">
        <v>18.7789</v>
      </c>
      <c r="F114" s="119">
        <v>17.285399999999999</v>
      </c>
      <c r="G114" s="119">
        <v>13.9534</v>
      </c>
      <c r="H114" s="119">
        <v>12.2523</v>
      </c>
      <c r="I114" s="119">
        <v>13.667999999999999</v>
      </c>
      <c r="J114" s="119">
        <v>14.604200000000001</v>
      </c>
      <c r="K114" s="119">
        <v>16.590699999999998</v>
      </c>
      <c r="L114" s="119">
        <v>17.537400000000002</v>
      </c>
      <c r="M114" s="119">
        <v>18.101600000000001</v>
      </c>
      <c r="N114" s="120">
        <v>17.8308</v>
      </c>
      <c r="O114" s="121">
        <v>16.474299999999999</v>
      </c>
    </row>
    <row r="115" spans="1:16" ht="15" x14ac:dyDescent="0.25">
      <c r="A115" s="40">
        <f t="shared" si="29"/>
        <v>460</v>
      </c>
      <c r="B115" s="108">
        <v>60</v>
      </c>
      <c r="C115" s="118">
        <v>17.347000000000001</v>
      </c>
      <c r="D115" s="119">
        <v>17.436299999999999</v>
      </c>
      <c r="E115" s="119">
        <v>18.136500000000002</v>
      </c>
      <c r="F115" s="119">
        <v>17.006699999999999</v>
      </c>
      <c r="G115" s="119">
        <v>13.875999999999999</v>
      </c>
      <c r="H115" s="119">
        <v>12.2362</v>
      </c>
      <c r="I115" s="119">
        <v>13.643000000000001</v>
      </c>
      <c r="J115" s="119">
        <v>14.4346</v>
      </c>
      <c r="K115" s="119">
        <v>16.156199999999998</v>
      </c>
      <c r="L115" s="119">
        <v>16.7227</v>
      </c>
      <c r="M115" s="119">
        <v>16.891100000000002</v>
      </c>
      <c r="N115" s="120">
        <v>16.4039</v>
      </c>
      <c r="O115" s="121">
        <v>15.8477</v>
      </c>
    </row>
    <row r="116" spans="1:16" ht="15" x14ac:dyDescent="0.25">
      <c r="A116" s="40">
        <f t="shared" si="29"/>
        <v>465</v>
      </c>
      <c r="B116" s="108">
        <v>65</v>
      </c>
      <c r="C116" s="118">
        <v>15.8339</v>
      </c>
      <c r="D116" s="119">
        <v>16.319400000000002</v>
      </c>
      <c r="E116" s="119">
        <v>17.386199999999999</v>
      </c>
      <c r="F116" s="119">
        <v>16.623000000000001</v>
      </c>
      <c r="G116" s="119">
        <v>13.7136</v>
      </c>
      <c r="H116" s="119">
        <v>12.1473</v>
      </c>
      <c r="I116" s="119">
        <v>13.5352</v>
      </c>
      <c r="J116" s="119">
        <v>14.177199999999999</v>
      </c>
      <c r="K116" s="119">
        <v>15.6257</v>
      </c>
      <c r="L116" s="119">
        <v>15.8178</v>
      </c>
      <c r="M116" s="119">
        <v>15.619</v>
      </c>
      <c r="N116" s="120">
        <v>14.939500000000001</v>
      </c>
      <c r="O116" s="121">
        <v>15.136699999999999</v>
      </c>
    </row>
    <row r="117" spans="1:16" ht="15" x14ac:dyDescent="0.25">
      <c r="A117" s="40">
        <f t="shared" si="29"/>
        <v>470</v>
      </c>
      <c r="B117" s="108">
        <v>70</v>
      </c>
      <c r="C117" s="118">
        <v>14.2896</v>
      </c>
      <c r="D117" s="119">
        <v>15.1144</v>
      </c>
      <c r="E117" s="119">
        <v>16.5337</v>
      </c>
      <c r="F117" s="119">
        <v>16.1374</v>
      </c>
      <c r="G117" s="119">
        <v>13.468</v>
      </c>
      <c r="H117" s="119">
        <v>11.9869</v>
      </c>
      <c r="I117" s="119">
        <v>13.346299999999999</v>
      </c>
      <c r="J117" s="119">
        <v>13.8338</v>
      </c>
      <c r="K117" s="119">
        <v>15.0032</v>
      </c>
      <c r="L117" s="119">
        <v>14.832599999999999</v>
      </c>
      <c r="M117" s="119">
        <v>14.270899999999999</v>
      </c>
      <c r="N117" s="120">
        <v>13.414300000000001</v>
      </c>
      <c r="O117" s="121">
        <v>14.346399999999999</v>
      </c>
    </row>
    <row r="118" spans="1:16" ht="15" x14ac:dyDescent="0.25">
      <c r="A118" s="40">
        <f t="shared" si="29"/>
        <v>475</v>
      </c>
      <c r="B118" s="108">
        <v>75</v>
      </c>
      <c r="C118" s="118">
        <v>12.754099999999999</v>
      </c>
      <c r="D118" s="119">
        <v>13.8352</v>
      </c>
      <c r="E118" s="119">
        <v>15.5854</v>
      </c>
      <c r="F118" s="119">
        <v>15.5534</v>
      </c>
      <c r="G118" s="119">
        <v>13.141</v>
      </c>
      <c r="H118" s="119">
        <v>11.7562</v>
      </c>
      <c r="I118" s="119">
        <v>13.078200000000001</v>
      </c>
      <c r="J118" s="119">
        <v>13.4071</v>
      </c>
      <c r="K118" s="119">
        <v>14.2934</v>
      </c>
      <c r="L118" s="119">
        <v>13.773300000000001</v>
      </c>
      <c r="M118" s="119">
        <v>12.8512</v>
      </c>
      <c r="N118" s="120">
        <v>11.882400000000001</v>
      </c>
      <c r="O118" s="121">
        <v>13.4884</v>
      </c>
    </row>
    <row r="119" spans="1:16" ht="15" x14ac:dyDescent="0.25">
      <c r="A119" s="40">
        <f t="shared" si="29"/>
        <v>480</v>
      </c>
      <c r="B119" s="108">
        <v>80</v>
      </c>
      <c r="C119" s="118">
        <v>11.170199999999999</v>
      </c>
      <c r="D119" s="119">
        <v>12.510199999999999</v>
      </c>
      <c r="E119" s="119">
        <v>14.5487</v>
      </c>
      <c r="F119" s="119">
        <v>14.8756</v>
      </c>
      <c r="G119" s="119">
        <v>12.735099999999999</v>
      </c>
      <c r="H119" s="119">
        <v>11.457000000000001</v>
      </c>
      <c r="I119" s="119">
        <v>12.732699999999999</v>
      </c>
      <c r="J119" s="119">
        <v>12.900399999999999</v>
      </c>
      <c r="K119" s="119">
        <v>13.501799999999999</v>
      </c>
      <c r="L119" s="119">
        <v>12.6454</v>
      </c>
      <c r="M119" s="119">
        <v>11.3865</v>
      </c>
      <c r="N119" s="120">
        <v>10.3232</v>
      </c>
      <c r="O119" s="121">
        <v>12.5634</v>
      </c>
    </row>
    <row r="120" spans="1:16" ht="15" x14ac:dyDescent="0.25">
      <c r="A120" s="40">
        <f t="shared" si="29"/>
        <v>485</v>
      </c>
      <c r="B120" s="109">
        <v>85</v>
      </c>
      <c r="C120" s="126">
        <v>9.5509000000000004</v>
      </c>
      <c r="D120" s="127">
        <v>11.151199999999999</v>
      </c>
      <c r="E120" s="127">
        <v>13.4313</v>
      </c>
      <c r="F120" s="127">
        <v>14.1091</v>
      </c>
      <c r="G120" s="127">
        <v>12.2532</v>
      </c>
      <c r="H120" s="127">
        <v>11.091200000000001</v>
      </c>
      <c r="I120" s="127">
        <v>12.3117</v>
      </c>
      <c r="J120" s="127">
        <v>12.317500000000001</v>
      </c>
      <c r="K120" s="127">
        <v>12.6343</v>
      </c>
      <c r="L120" s="127">
        <v>11.456200000000001</v>
      </c>
      <c r="M120" s="127">
        <v>9.9228000000000005</v>
      </c>
      <c r="N120" s="128">
        <v>8.8158999999999992</v>
      </c>
      <c r="O120" s="129">
        <v>11.5868</v>
      </c>
    </row>
    <row r="121" spans="1:16" x14ac:dyDescent="0.2">
      <c r="A121" s="40">
        <f t="shared" si="29"/>
        <v>490</v>
      </c>
      <c r="B121" s="40">
        <v>90</v>
      </c>
    </row>
    <row r="122" spans="1:16" x14ac:dyDescent="0.2">
      <c r="A122" s="40">
        <f t="shared" si="29"/>
        <v>491</v>
      </c>
      <c r="B122" s="40">
        <v>91</v>
      </c>
      <c r="C122" s="107">
        <f>T5</f>
        <v>23.7</v>
      </c>
      <c r="D122" s="107">
        <f t="shared" ref="D122:O122" si="30">U5</f>
        <v>22.9</v>
      </c>
      <c r="E122" s="107">
        <f t="shared" si="30"/>
        <v>21.2</v>
      </c>
      <c r="F122" s="107">
        <f t="shared" si="30"/>
        <v>17.899999999999999</v>
      </c>
      <c r="G122" s="107">
        <f t="shared" si="30"/>
        <v>14.8</v>
      </c>
      <c r="H122" s="107">
        <f t="shared" si="30"/>
        <v>11.7</v>
      </c>
      <c r="I122" s="107">
        <f t="shared" si="30"/>
        <v>11.4</v>
      </c>
      <c r="J122" s="107">
        <f t="shared" si="30"/>
        <v>12.2</v>
      </c>
      <c r="K122" s="107">
        <f t="shared" si="30"/>
        <v>14.1</v>
      </c>
      <c r="L122" s="107">
        <f t="shared" si="30"/>
        <v>16.8</v>
      </c>
      <c r="M122" s="107">
        <f t="shared" si="30"/>
        <v>19.5</v>
      </c>
      <c r="N122" s="107">
        <f t="shared" si="30"/>
        <v>22.3</v>
      </c>
      <c r="O122" s="107">
        <f t="shared" si="30"/>
        <v>17.399999999999999</v>
      </c>
      <c r="P122" s="41" t="s">
        <v>578</v>
      </c>
    </row>
    <row r="123" spans="1:16" x14ac:dyDescent="0.2">
      <c r="A123" s="40">
        <f t="shared" si="29"/>
        <v>492</v>
      </c>
      <c r="B123" s="40">
        <v>92</v>
      </c>
      <c r="C123" s="343">
        <f>T29</f>
        <v>28.4</v>
      </c>
      <c r="D123" s="343">
        <f t="shared" ref="D123:O123" si="31">U29</f>
        <v>28.5</v>
      </c>
      <c r="E123" s="343">
        <f t="shared" si="31"/>
        <v>26.1</v>
      </c>
      <c r="F123" s="343">
        <f t="shared" si="31"/>
        <v>21.7</v>
      </c>
      <c r="G123" s="343">
        <f t="shared" si="31"/>
        <v>16.600000000000001</v>
      </c>
      <c r="H123" s="343">
        <f t="shared" si="31"/>
        <v>12</v>
      </c>
      <c r="I123" s="343">
        <f t="shared" si="31"/>
        <v>9.3000000000000007</v>
      </c>
      <c r="J123" s="343">
        <f t="shared" si="31"/>
        <v>9.1999999999999993</v>
      </c>
      <c r="K123" s="343">
        <f t="shared" si="31"/>
        <v>11.7</v>
      </c>
      <c r="L123" s="343">
        <f t="shared" si="31"/>
        <v>16.100000000000001</v>
      </c>
      <c r="M123" s="343">
        <f t="shared" si="31"/>
        <v>21.3</v>
      </c>
      <c r="N123" s="343">
        <f t="shared" si="31"/>
        <v>25.8</v>
      </c>
      <c r="O123" s="343">
        <f t="shared" si="31"/>
        <v>0</v>
      </c>
    </row>
    <row r="125" spans="1:16" ht="15.75" x14ac:dyDescent="0.25">
      <c r="B125" s="133" t="s">
        <v>630</v>
      </c>
      <c r="C125" s="132"/>
      <c r="D125" s="132"/>
      <c r="E125" s="132"/>
      <c r="F125" s="132"/>
      <c r="G125" s="957" t="s">
        <v>613</v>
      </c>
      <c r="H125" s="957"/>
      <c r="I125" s="957"/>
      <c r="J125" s="957"/>
      <c r="K125" s="957"/>
      <c r="L125" s="957"/>
      <c r="M125" s="957"/>
      <c r="N125" s="957"/>
      <c r="O125" s="130">
        <v>5</v>
      </c>
    </row>
    <row r="126" spans="1:16" ht="14.25" x14ac:dyDescent="0.2">
      <c r="B126" s="132" t="s">
        <v>614</v>
      </c>
      <c r="C126" s="132" t="s">
        <v>631</v>
      </c>
      <c r="D126" s="132" t="s">
        <v>616</v>
      </c>
      <c r="E126" s="132" t="s">
        <v>623</v>
      </c>
      <c r="F126" s="132"/>
      <c r="G126" s="958" t="s">
        <v>618</v>
      </c>
      <c r="H126" s="958"/>
      <c r="I126" s="958"/>
      <c r="J126" s="958"/>
      <c r="K126" s="958"/>
      <c r="L126" s="958"/>
      <c r="M126" s="958"/>
      <c r="N126" s="958"/>
      <c r="O126" s="958"/>
    </row>
    <row r="127" spans="1:16" ht="15" x14ac:dyDescent="0.25">
      <c r="B127" s="134" t="s">
        <v>619</v>
      </c>
      <c r="C127" s="91" t="s">
        <v>4</v>
      </c>
      <c r="D127" s="91" t="s">
        <v>5</v>
      </c>
      <c r="E127" s="91" t="s">
        <v>6</v>
      </c>
      <c r="F127" s="91" t="s">
        <v>7</v>
      </c>
      <c r="G127" s="91" t="s">
        <v>8</v>
      </c>
      <c r="H127" s="91" t="s">
        <v>9</v>
      </c>
      <c r="I127" s="91" t="s">
        <v>10</v>
      </c>
      <c r="J127" s="91" t="s">
        <v>11</v>
      </c>
      <c r="K127" s="91" t="s">
        <v>12</v>
      </c>
      <c r="L127" s="91" t="s">
        <v>13</v>
      </c>
      <c r="M127" s="91" t="s">
        <v>14</v>
      </c>
      <c r="N127" s="91" t="s">
        <v>15</v>
      </c>
      <c r="O127" s="135" t="s">
        <v>620</v>
      </c>
    </row>
    <row r="128" spans="1:16" ht="15" x14ac:dyDescent="0.25">
      <c r="A128" s="40">
        <f>O$125*100+B128</f>
        <v>500</v>
      </c>
      <c r="B128" s="108">
        <v>0</v>
      </c>
      <c r="C128" s="136">
        <v>25.973500000000001</v>
      </c>
      <c r="D128" s="137">
        <v>21.5687</v>
      </c>
      <c r="E128" s="137">
        <v>18.0837</v>
      </c>
      <c r="F128" s="137">
        <v>13.7113</v>
      </c>
      <c r="G128" s="137">
        <v>9.6370000000000005</v>
      </c>
      <c r="H128" s="137">
        <v>7.9865000000000004</v>
      </c>
      <c r="I128" s="137">
        <v>8.8632000000000009</v>
      </c>
      <c r="J128" s="137">
        <v>10.907500000000001</v>
      </c>
      <c r="K128" s="137">
        <v>14.675700000000001</v>
      </c>
      <c r="L128" s="137">
        <v>19.138000000000002</v>
      </c>
      <c r="M128" s="137">
        <v>23.876999999999999</v>
      </c>
      <c r="N128" s="138">
        <v>25.933199999999999</v>
      </c>
      <c r="O128" s="139">
        <v>16.674199999999999</v>
      </c>
    </row>
    <row r="129" spans="1:15" ht="15" x14ac:dyDescent="0.25">
      <c r="A129" s="40">
        <f t="shared" ref="A129:A148" si="32">O$125*100+B129</f>
        <v>505</v>
      </c>
      <c r="B129" s="108">
        <v>5</v>
      </c>
      <c r="C129" s="136">
        <v>26.002800000000001</v>
      </c>
      <c r="D129" s="137">
        <v>21.8901</v>
      </c>
      <c r="E129" s="137">
        <v>18.718399999999999</v>
      </c>
      <c r="F129" s="137">
        <v>14.552300000000001</v>
      </c>
      <c r="G129" s="137">
        <v>10.3809</v>
      </c>
      <c r="H129" s="137">
        <v>8.6966999999999999</v>
      </c>
      <c r="I129" s="137">
        <v>9.6739999999999995</v>
      </c>
      <c r="J129" s="137">
        <v>11.612399999999999</v>
      </c>
      <c r="K129" s="137">
        <v>15.3133</v>
      </c>
      <c r="L129" s="137">
        <v>19.564299999999999</v>
      </c>
      <c r="M129" s="137">
        <v>24.0289</v>
      </c>
      <c r="N129" s="138">
        <v>25.885200000000001</v>
      </c>
      <c r="O129" s="139">
        <v>17.171600000000002</v>
      </c>
    </row>
    <row r="130" spans="1:15" ht="15" x14ac:dyDescent="0.25">
      <c r="A130" s="40">
        <f t="shared" si="32"/>
        <v>510</v>
      </c>
      <c r="B130" s="108">
        <v>10</v>
      </c>
      <c r="C130" s="136">
        <v>25.872800000000002</v>
      </c>
      <c r="D130" s="137">
        <v>22.0809</v>
      </c>
      <c r="E130" s="137">
        <v>19.241599999999998</v>
      </c>
      <c r="F130" s="137">
        <v>15.306900000000001</v>
      </c>
      <c r="G130" s="137">
        <v>11.0663</v>
      </c>
      <c r="H130" s="137">
        <v>9.3585999999999991</v>
      </c>
      <c r="I130" s="137">
        <v>10.429</v>
      </c>
      <c r="J130" s="137">
        <v>12.2514</v>
      </c>
      <c r="K130" s="137">
        <v>15.861800000000001</v>
      </c>
      <c r="L130" s="137">
        <v>19.873999999999999</v>
      </c>
      <c r="M130" s="137">
        <v>24.034600000000001</v>
      </c>
      <c r="N130" s="138">
        <v>25.678899999999999</v>
      </c>
      <c r="O130" s="139">
        <v>17.567</v>
      </c>
    </row>
    <row r="131" spans="1:15" ht="15" x14ac:dyDescent="0.25">
      <c r="A131" s="40">
        <f t="shared" si="32"/>
        <v>515</v>
      </c>
      <c r="B131" s="108">
        <v>15</v>
      </c>
      <c r="C131" s="136">
        <v>25.584499999999998</v>
      </c>
      <c r="D131" s="137">
        <v>22.139600000000002</v>
      </c>
      <c r="E131" s="137">
        <v>19.6492</v>
      </c>
      <c r="F131" s="137">
        <v>15.9694</v>
      </c>
      <c r="G131" s="137">
        <v>11.688000000000001</v>
      </c>
      <c r="H131" s="137">
        <v>9.9672000000000001</v>
      </c>
      <c r="I131" s="137">
        <v>11.122299999999999</v>
      </c>
      <c r="J131" s="137">
        <v>12.819900000000001</v>
      </c>
      <c r="K131" s="137">
        <v>16.3172</v>
      </c>
      <c r="L131" s="137">
        <v>20.064900000000002</v>
      </c>
      <c r="M131" s="137">
        <v>23.894100000000002</v>
      </c>
      <c r="N131" s="138">
        <v>25.315999999999999</v>
      </c>
      <c r="O131" s="139">
        <v>17.857399999999998</v>
      </c>
    </row>
    <row r="132" spans="1:15" ht="15" x14ac:dyDescent="0.25">
      <c r="A132" s="40">
        <f t="shared" si="32"/>
        <v>520</v>
      </c>
      <c r="B132" s="108">
        <v>20</v>
      </c>
      <c r="C132" s="136">
        <v>25.1401</v>
      </c>
      <c r="D132" s="137">
        <v>22.065899999999999</v>
      </c>
      <c r="E132" s="137">
        <v>19.938300000000002</v>
      </c>
      <c r="F132" s="137">
        <v>16.534700000000001</v>
      </c>
      <c r="G132" s="137">
        <v>12.241199999999999</v>
      </c>
      <c r="H132" s="137">
        <v>10.517799999999999</v>
      </c>
      <c r="I132" s="137">
        <v>11.748900000000001</v>
      </c>
      <c r="J132" s="137">
        <v>13.3133</v>
      </c>
      <c r="K132" s="137">
        <v>16.675999999999998</v>
      </c>
      <c r="L132" s="137">
        <v>20.135400000000001</v>
      </c>
      <c r="M132" s="137">
        <v>23.608499999999999</v>
      </c>
      <c r="N132" s="138">
        <v>24.798999999999999</v>
      </c>
      <c r="O132" s="139">
        <v>18.040400000000002</v>
      </c>
    </row>
    <row r="133" spans="1:15" ht="15" x14ac:dyDescent="0.25">
      <c r="A133" s="40">
        <f t="shared" si="32"/>
        <v>525</v>
      </c>
      <c r="B133" s="108">
        <v>25</v>
      </c>
      <c r="C133" s="140">
        <v>24.5428</v>
      </c>
      <c r="D133" s="141">
        <v>21.860299999999999</v>
      </c>
      <c r="E133" s="141">
        <v>20.1067</v>
      </c>
      <c r="F133" s="141">
        <v>16.9986</v>
      </c>
      <c r="G133" s="141">
        <v>12.7218</v>
      </c>
      <c r="H133" s="141">
        <v>11.0062</v>
      </c>
      <c r="I133" s="141">
        <v>12.303800000000001</v>
      </c>
      <c r="J133" s="141">
        <v>13.7281</v>
      </c>
      <c r="K133" s="141">
        <v>16.935300000000002</v>
      </c>
      <c r="L133" s="141">
        <v>20.085100000000001</v>
      </c>
      <c r="M133" s="141">
        <v>23.1799</v>
      </c>
      <c r="N133" s="142">
        <v>24.1373</v>
      </c>
      <c r="O133" s="143">
        <v>18.115300000000001</v>
      </c>
    </row>
    <row r="134" spans="1:15" ht="15" x14ac:dyDescent="0.25">
      <c r="A134" s="40">
        <f t="shared" si="32"/>
        <v>530</v>
      </c>
      <c r="B134" s="108">
        <v>30</v>
      </c>
      <c r="C134" s="136">
        <v>23.809200000000001</v>
      </c>
      <c r="D134" s="137">
        <v>21.5243</v>
      </c>
      <c r="E134" s="137">
        <v>20.152899999999999</v>
      </c>
      <c r="F134" s="137">
        <v>17.357500000000002</v>
      </c>
      <c r="G134" s="137">
        <v>13.126099999999999</v>
      </c>
      <c r="H134" s="137">
        <v>11.428800000000001</v>
      </c>
      <c r="I134" s="137">
        <v>12.7828</v>
      </c>
      <c r="J134" s="137">
        <v>14.061</v>
      </c>
      <c r="K134" s="137">
        <v>17.093399999999999</v>
      </c>
      <c r="L134" s="137">
        <v>19.914300000000001</v>
      </c>
      <c r="M134" s="137">
        <v>22.611599999999999</v>
      </c>
      <c r="N134" s="138">
        <v>23.344100000000001</v>
      </c>
      <c r="O134" s="139">
        <v>18.083100000000002</v>
      </c>
    </row>
    <row r="135" spans="1:15" ht="15" x14ac:dyDescent="0.25">
      <c r="A135" s="40">
        <f t="shared" si="32"/>
        <v>535</v>
      </c>
      <c r="B135" s="108">
        <v>35</v>
      </c>
      <c r="C135" s="136">
        <v>22.953600000000002</v>
      </c>
      <c r="D135" s="137">
        <v>21.061800000000002</v>
      </c>
      <c r="E135" s="137">
        <v>20.076699999999999</v>
      </c>
      <c r="F135" s="137">
        <v>17.608699999999999</v>
      </c>
      <c r="G135" s="137">
        <v>13.451000000000001</v>
      </c>
      <c r="H135" s="137">
        <v>11.782299999999999</v>
      </c>
      <c r="I135" s="137">
        <v>13.182399999999999</v>
      </c>
      <c r="J135" s="137">
        <v>14.3095</v>
      </c>
      <c r="K135" s="137">
        <v>17.148900000000001</v>
      </c>
      <c r="L135" s="137">
        <v>19.624300000000002</v>
      </c>
      <c r="M135" s="137">
        <v>21.907900000000001</v>
      </c>
      <c r="N135" s="138">
        <v>22.411899999999999</v>
      </c>
      <c r="O135" s="139">
        <v>17.9437</v>
      </c>
    </row>
    <row r="136" spans="1:15" ht="15" x14ac:dyDescent="0.25">
      <c r="A136" s="40">
        <f t="shared" si="32"/>
        <v>540</v>
      </c>
      <c r="B136" s="108">
        <v>40</v>
      </c>
      <c r="C136" s="136">
        <v>21.978200000000001</v>
      </c>
      <c r="D136" s="137">
        <v>20.482399999999998</v>
      </c>
      <c r="E136" s="137">
        <v>19.878699999999998</v>
      </c>
      <c r="F136" s="137">
        <v>17.750299999999999</v>
      </c>
      <c r="G136" s="137">
        <v>13.694100000000001</v>
      </c>
      <c r="H136" s="137">
        <v>12.0641</v>
      </c>
      <c r="I136" s="137">
        <v>13.4977</v>
      </c>
      <c r="J136" s="137">
        <v>14.4717</v>
      </c>
      <c r="K136" s="137">
        <v>17.101500000000001</v>
      </c>
      <c r="L136" s="137">
        <v>19.217300000000002</v>
      </c>
      <c r="M136" s="137">
        <v>21.074200000000001</v>
      </c>
      <c r="N136" s="138">
        <v>21.347899999999999</v>
      </c>
      <c r="O136" s="139">
        <v>17.6983</v>
      </c>
    </row>
    <row r="137" spans="1:15" ht="15" x14ac:dyDescent="0.25">
      <c r="A137" s="40">
        <f t="shared" si="32"/>
        <v>545</v>
      </c>
      <c r="B137" s="108">
        <v>45</v>
      </c>
      <c r="C137" s="136">
        <v>20.8963</v>
      </c>
      <c r="D137" s="137">
        <v>19.783300000000001</v>
      </c>
      <c r="E137" s="137">
        <v>19.560300000000002</v>
      </c>
      <c r="F137" s="137">
        <v>17.781199999999998</v>
      </c>
      <c r="G137" s="137">
        <v>13.853199999999999</v>
      </c>
      <c r="H137" s="137">
        <v>12.2719</v>
      </c>
      <c r="I137" s="137">
        <v>13.723100000000001</v>
      </c>
      <c r="J137" s="137">
        <v>14.5463</v>
      </c>
      <c r="K137" s="137">
        <v>16.9514</v>
      </c>
      <c r="L137" s="137">
        <v>18.6965</v>
      </c>
      <c r="M137" s="137">
        <v>20.116800000000001</v>
      </c>
      <c r="N137" s="138">
        <v>20.171099999999999</v>
      </c>
      <c r="O137" s="139">
        <v>17.3491</v>
      </c>
    </row>
    <row r="138" spans="1:15" ht="15" x14ac:dyDescent="0.25">
      <c r="A138" s="40">
        <f t="shared" si="32"/>
        <v>550</v>
      </c>
      <c r="B138" s="108">
        <v>50</v>
      </c>
      <c r="C138" s="136">
        <v>19.694400000000002</v>
      </c>
      <c r="D138" s="137">
        <v>18.9696</v>
      </c>
      <c r="E138" s="137">
        <v>19.123999999999999</v>
      </c>
      <c r="F138" s="137">
        <v>17.7011</v>
      </c>
      <c r="G138" s="137">
        <v>13.926</v>
      </c>
      <c r="H138" s="137">
        <v>12.404199999999999</v>
      </c>
      <c r="I138" s="137">
        <v>13.860099999999999</v>
      </c>
      <c r="J138" s="137">
        <v>14.5329</v>
      </c>
      <c r="K138" s="137">
        <v>16.6999</v>
      </c>
      <c r="L138" s="137">
        <v>18.065799999999999</v>
      </c>
      <c r="M138" s="137">
        <v>19.043099999999999</v>
      </c>
      <c r="N138" s="138">
        <v>18.9069</v>
      </c>
      <c r="O138" s="139">
        <v>16.898700000000002</v>
      </c>
    </row>
    <row r="139" spans="1:15" ht="15" x14ac:dyDescent="0.25">
      <c r="A139" s="40">
        <f t="shared" si="32"/>
        <v>555</v>
      </c>
      <c r="B139" s="108">
        <v>55</v>
      </c>
      <c r="C139" s="136">
        <v>18.3811</v>
      </c>
      <c r="D139" s="137">
        <v>18.047599999999999</v>
      </c>
      <c r="E139" s="137">
        <v>18.5732</v>
      </c>
      <c r="F139" s="137">
        <v>17.5107</v>
      </c>
      <c r="G139" s="137">
        <v>13.912699999999999</v>
      </c>
      <c r="H139" s="137">
        <v>12.4598</v>
      </c>
      <c r="I139" s="137">
        <v>13.9094</v>
      </c>
      <c r="J139" s="137">
        <v>14.4314</v>
      </c>
      <c r="K139" s="137">
        <v>16.3489</v>
      </c>
      <c r="L139" s="137">
        <v>17.329899999999999</v>
      </c>
      <c r="M139" s="137">
        <v>17.883099999999999</v>
      </c>
      <c r="N139" s="138">
        <v>17.555299999999999</v>
      </c>
      <c r="O139" s="139">
        <v>16.351500000000001</v>
      </c>
    </row>
    <row r="140" spans="1:15" ht="15" x14ac:dyDescent="0.25">
      <c r="A140" s="40">
        <f t="shared" si="32"/>
        <v>560</v>
      </c>
      <c r="B140" s="108">
        <v>60</v>
      </c>
      <c r="C140" s="136">
        <v>16.968299999999999</v>
      </c>
      <c r="D140" s="137">
        <v>17.0242</v>
      </c>
      <c r="E140" s="137">
        <v>17.911899999999999</v>
      </c>
      <c r="F140" s="137">
        <v>17.211400000000001</v>
      </c>
      <c r="G140" s="137">
        <v>13.814</v>
      </c>
      <c r="H140" s="137">
        <v>12.4339</v>
      </c>
      <c r="I140" s="137">
        <v>13.8705</v>
      </c>
      <c r="J140" s="137">
        <v>14.242800000000001</v>
      </c>
      <c r="K140" s="137">
        <v>15.901</v>
      </c>
      <c r="L140" s="137">
        <v>16.494700000000002</v>
      </c>
      <c r="M140" s="137">
        <v>16.6677</v>
      </c>
      <c r="N140" s="138">
        <v>16.151399999999999</v>
      </c>
      <c r="O140" s="139">
        <v>15.7155</v>
      </c>
    </row>
    <row r="141" spans="1:15" ht="15" x14ac:dyDescent="0.25">
      <c r="A141" s="40">
        <f t="shared" si="32"/>
        <v>565</v>
      </c>
      <c r="B141" s="108">
        <v>65</v>
      </c>
      <c r="C141" s="136">
        <v>15.488300000000001</v>
      </c>
      <c r="D141" s="137">
        <v>15.907299999999999</v>
      </c>
      <c r="E141" s="137">
        <v>17.145299999999999</v>
      </c>
      <c r="F141" s="137">
        <v>16.805499999999999</v>
      </c>
      <c r="G141" s="137">
        <v>13.6313</v>
      </c>
      <c r="H141" s="137">
        <v>12.331899999999999</v>
      </c>
      <c r="I141" s="137">
        <v>13.744999999999999</v>
      </c>
      <c r="J141" s="137">
        <v>13.968299999999999</v>
      </c>
      <c r="K141" s="137">
        <v>15.3596</v>
      </c>
      <c r="L141" s="137">
        <v>15.570600000000001</v>
      </c>
      <c r="M141" s="137">
        <v>15.3751</v>
      </c>
      <c r="N141" s="138">
        <v>14.6739</v>
      </c>
      <c r="O141" s="139">
        <v>14.9931</v>
      </c>
    </row>
    <row r="142" spans="1:15" ht="15" x14ac:dyDescent="0.25">
      <c r="A142" s="40">
        <f t="shared" si="32"/>
        <v>570</v>
      </c>
      <c r="B142" s="108">
        <v>70</v>
      </c>
      <c r="C142" s="136">
        <v>13.956899999999999</v>
      </c>
      <c r="D142" s="137">
        <v>14.705299999999999</v>
      </c>
      <c r="E142" s="137">
        <v>16.2791</v>
      </c>
      <c r="F142" s="137">
        <v>16.296099999999999</v>
      </c>
      <c r="G142" s="137">
        <v>13.366099999999999</v>
      </c>
      <c r="H142" s="137">
        <v>12.1561</v>
      </c>
      <c r="I142" s="137">
        <v>13.5357</v>
      </c>
      <c r="J142" s="137">
        <v>13.610200000000001</v>
      </c>
      <c r="K142" s="137">
        <v>14.728899999999999</v>
      </c>
      <c r="L142" s="137">
        <v>14.5693</v>
      </c>
      <c r="M142" s="137">
        <v>14.003399999999999</v>
      </c>
      <c r="N142" s="138">
        <v>13.1242</v>
      </c>
      <c r="O142" s="139">
        <v>14.1889</v>
      </c>
    </row>
    <row r="143" spans="1:15" ht="15" x14ac:dyDescent="0.25">
      <c r="A143" s="40">
        <f t="shared" si="32"/>
        <v>575</v>
      </c>
      <c r="B143" s="108">
        <v>75</v>
      </c>
      <c r="C143" s="136">
        <v>12.4338</v>
      </c>
      <c r="D143" s="137">
        <v>13.4323</v>
      </c>
      <c r="E143" s="137">
        <v>15.32</v>
      </c>
      <c r="F143" s="137">
        <v>15.687099999999999</v>
      </c>
      <c r="G143" s="137">
        <v>13.0205</v>
      </c>
      <c r="H143" s="137">
        <v>11.908300000000001</v>
      </c>
      <c r="I143" s="137">
        <v>13.2445</v>
      </c>
      <c r="J143" s="137">
        <v>13.170999999999999</v>
      </c>
      <c r="K143" s="137">
        <v>14.0136</v>
      </c>
      <c r="L143" s="137">
        <v>13.496700000000001</v>
      </c>
      <c r="M143" s="137">
        <v>12.5619</v>
      </c>
      <c r="N143" s="138">
        <v>11.5655</v>
      </c>
      <c r="O143" s="139">
        <v>13.3179</v>
      </c>
    </row>
    <row r="144" spans="1:15" ht="15" x14ac:dyDescent="0.25">
      <c r="A144" s="40">
        <f t="shared" si="32"/>
        <v>580</v>
      </c>
      <c r="B144" s="108">
        <v>80</v>
      </c>
      <c r="C144" s="136">
        <v>10.865</v>
      </c>
      <c r="D144" s="137">
        <v>12.119400000000001</v>
      </c>
      <c r="E144" s="137">
        <v>14.2752</v>
      </c>
      <c r="F144" s="137">
        <v>14.9831</v>
      </c>
      <c r="G144" s="137">
        <v>12.597099999999999</v>
      </c>
      <c r="H144" s="137">
        <v>11.5901</v>
      </c>
      <c r="I144" s="137">
        <v>12.8736</v>
      </c>
      <c r="J144" s="137">
        <v>12.654299999999999</v>
      </c>
      <c r="K144" s="137">
        <v>13.2193</v>
      </c>
      <c r="L144" s="137">
        <v>12.3575</v>
      </c>
      <c r="M144" s="137">
        <v>11.0792</v>
      </c>
      <c r="N144" s="138">
        <v>10.037100000000001</v>
      </c>
      <c r="O144" s="139">
        <v>12.386100000000001</v>
      </c>
    </row>
    <row r="145" spans="1:16" ht="15" x14ac:dyDescent="0.25">
      <c r="A145" s="40">
        <f t="shared" si="32"/>
        <v>585</v>
      </c>
      <c r="B145" s="109">
        <v>85</v>
      </c>
      <c r="C145" s="144">
        <v>9.2878000000000007</v>
      </c>
      <c r="D145" s="145">
        <v>10.775</v>
      </c>
      <c r="E145" s="145">
        <v>13.152799999999999</v>
      </c>
      <c r="F145" s="145">
        <v>14.189399999999999</v>
      </c>
      <c r="G145" s="145">
        <v>12.099</v>
      </c>
      <c r="H145" s="145">
        <v>11.202999999999999</v>
      </c>
      <c r="I145" s="145">
        <v>12.4244</v>
      </c>
      <c r="J145" s="145">
        <v>12.063800000000001</v>
      </c>
      <c r="K145" s="145">
        <v>12.351900000000001</v>
      </c>
      <c r="L145" s="145">
        <v>11.159000000000001</v>
      </c>
      <c r="M145" s="145">
        <v>9.6219000000000001</v>
      </c>
      <c r="N145" s="146">
        <v>8.5314999999999994</v>
      </c>
      <c r="O145" s="147">
        <v>11.4053</v>
      </c>
    </row>
    <row r="146" spans="1:16" x14ac:dyDescent="0.2">
      <c r="A146" s="40">
        <f t="shared" si="32"/>
        <v>590</v>
      </c>
      <c r="B146" s="40">
        <v>90</v>
      </c>
    </row>
    <row r="147" spans="1:16" x14ac:dyDescent="0.2">
      <c r="A147" s="40">
        <f t="shared" si="32"/>
        <v>591</v>
      </c>
      <c r="B147" s="40">
        <v>91</v>
      </c>
      <c r="C147" s="111">
        <f>T6</f>
        <v>24.6</v>
      </c>
      <c r="D147" s="111">
        <f t="shared" ref="D147:O147" si="33">U6</f>
        <v>23.7</v>
      </c>
      <c r="E147" s="111">
        <f t="shared" si="33"/>
        <v>21.6</v>
      </c>
      <c r="F147" s="111">
        <f t="shared" si="33"/>
        <v>17.7</v>
      </c>
      <c r="G147" s="111">
        <f t="shared" si="33"/>
        <v>14.6</v>
      </c>
      <c r="H147" s="111">
        <f t="shared" si="33"/>
        <v>11.5</v>
      </c>
      <c r="I147" s="111">
        <f t="shared" si="33"/>
        <v>11.4</v>
      </c>
      <c r="J147" s="111">
        <f t="shared" si="33"/>
        <v>12.5</v>
      </c>
      <c r="K147" s="111">
        <f t="shared" si="33"/>
        <v>14.3</v>
      </c>
      <c r="L147" s="111">
        <f t="shared" si="33"/>
        <v>17.3</v>
      </c>
      <c r="M147" s="111">
        <f t="shared" si="33"/>
        <v>20</v>
      </c>
      <c r="N147" s="111">
        <f t="shared" si="33"/>
        <v>23</v>
      </c>
      <c r="O147" s="111">
        <f t="shared" si="33"/>
        <v>17.7</v>
      </c>
      <c r="P147" s="344" t="s">
        <v>680</v>
      </c>
    </row>
    <row r="148" spans="1:16" x14ac:dyDescent="0.2">
      <c r="A148" s="40">
        <f t="shared" si="32"/>
        <v>592</v>
      </c>
      <c r="B148" s="40">
        <v>92</v>
      </c>
      <c r="C148" s="343">
        <f>T30</f>
        <v>28.4</v>
      </c>
      <c r="D148" s="343">
        <f t="shared" ref="D148:O148" si="34">U30</f>
        <v>28.5</v>
      </c>
      <c r="E148" s="343">
        <f t="shared" si="34"/>
        <v>26.1</v>
      </c>
      <c r="F148" s="343">
        <f t="shared" si="34"/>
        <v>21.7</v>
      </c>
      <c r="G148" s="343">
        <f t="shared" si="34"/>
        <v>16.600000000000001</v>
      </c>
      <c r="H148" s="343">
        <f t="shared" si="34"/>
        <v>12</v>
      </c>
      <c r="I148" s="343">
        <f t="shared" si="34"/>
        <v>9.3000000000000007</v>
      </c>
      <c r="J148" s="343">
        <f t="shared" si="34"/>
        <v>9.1999999999999993</v>
      </c>
      <c r="K148" s="343">
        <f t="shared" si="34"/>
        <v>11.7</v>
      </c>
      <c r="L148" s="343">
        <f t="shared" si="34"/>
        <v>16.100000000000001</v>
      </c>
      <c r="M148" s="343">
        <f t="shared" si="34"/>
        <v>21.3</v>
      </c>
      <c r="N148" s="343">
        <f t="shared" si="34"/>
        <v>25.8</v>
      </c>
      <c r="O148" s="343">
        <f t="shared" si="34"/>
        <v>0</v>
      </c>
    </row>
    <row r="150" spans="1:16" ht="15.75" x14ac:dyDescent="0.25">
      <c r="B150" s="150" t="s">
        <v>632</v>
      </c>
      <c r="C150" s="149"/>
      <c r="D150" s="149"/>
      <c r="E150" s="149"/>
      <c r="F150" s="149"/>
      <c r="G150" s="957" t="s">
        <v>613</v>
      </c>
      <c r="H150" s="957"/>
      <c r="I150" s="957"/>
      <c r="J150" s="957"/>
      <c r="K150" s="957"/>
      <c r="L150" s="957"/>
      <c r="M150" s="957"/>
      <c r="N150" s="957"/>
      <c r="O150" s="130">
        <v>6</v>
      </c>
    </row>
    <row r="151" spans="1:16" ht="14.25" x14ac:dyDescent="0.2">
      <c r="B151" s="149" t="s">
        <v>614</v>
      </c>
      <c r="C151" s="149" t="s">
        <v>633</v>
      </c>
      <c r="D151" s="149" t="s">
        <v>616</v>
      </c>
      <c r="E151" s="149" t="s">
        <v>634</v>
      </c>
      <c r="F151" s="149"/>
      <c r="G151" s="958" t="s">
        <v>618</v>
      </c>
      <c r="H151" s="958"/>
      <c r="I151" s="958"/>
      <c r="J151" s="958"/>
      <c r="K151" s="958"/>
      <c r="L151" s="958"/>
      <c r="M151" s="958"/>
      <c r="N151" s="958"/>
      <c r="O151" s="958"/>
    </row>
    <row r="152" spans="1:16" ht="15" x14ac:dyDescent="0.25">
      <c r="B152" s="151" t="s">
        <v>619</v>
      </c>
      <c r="C152" s="91" t="s">
        <v>4</v>
      </c>
      <c r="D152" s="91" t="s">
        <v>5</v>
      </c>
      <c r="E152" s="91" t="s">
        <v>6</v>
      </c>
      <c r="F152" s="91" t="s">
        <v>7</v>
      </c>
      <c r="G152" s="91" t="s">
        <v>8</v>
      </c>
      <c r="H152" s="91" t="s">
        <v>9</v>
      </c>
      <c r="I152" s="91" t="s">
        <v>10</v>
      </c>
      <c r="J152" s="91" t="s">
        <v>11</v>
      </c>
      <c r="K152" s="91" t="s">
        <v>12</v>
      </c>
      <c r="L152" s="91" t="s">
        <v>13</v>
      </c>
      <c r="M152" s="91" t="s">
        <v>14</v>
      </c>
      <c r="N152" s="91" t="s">
        <v>15</v>
      </c>
      <c r="O152" s="152" t="s">
        <v>620</v>
      </c>
    </row>
    <row r="153" spans="1:16" ht="15" x14ac:dyDescent="0.25">
      <c r="A153" s="40">
        <f>O$150*100+B153</f>
        <v>600</v>
      </c>
      <c r="B153" s="108">
        <v>0</v>
      </c>
      <c r="C153" s="153">
        <v>26.253499999999999</v>
      </c>
      <c r="D153" s="154">
        <v>21.938600000000001</v>
      </c>
      <c r="E153" s="154">
        <v>18.095700000000001</v>
      </c>
      <c r="F153" s="154">
        <v>13.596500000000001</v>
      </c>
      <c r="G153" s="154">
        <v>9.5540000000000003</v>
      </c>
      <c r="H153" s="154">
        <v>7.8676000000000004</v>
      </c>
      <c r="I153" s="154">
        <v>8.7146000000000008</v>
      </c>
      <c r="J153" s="154">
        <v>10.8474</v>
      </c>
      <c r="K153" s="154">
        <v>14.6912</v>
      </c>
      <c r="L153" s="154">
        <v>19.294899999999998</v>
      </c>
      <c r="M153" s="154">
        <v>23.941800000000001</v>
      </c>
      <c r="N153" s="155">
        <v>25.8903</v>
      </c>
      <c r="O153" s="156">
        <v>16.6996</v>
      </c>
    </row>
    <row r="154" spans="1:16" ht="15" x14ac:dyDescent="0.25">
      <c r="A154" s="40">
        <f t="shared" ref="A154:A173" si="35">O$150*100+B154</f>
        <v>605</v>
      </c>
      <c r="B154" s="108">
        <v>5</v>
      </c>
      <c r="C154" s="153">
        <v>26.298200000000001</v>
      </c>
      <c r="D154" s="154">
        <v>22.277799999999999</v>
      </c>
      <c r="E154" s="154">
        <v>18.752400000000002</v>
      </c>
      <c r="F154" s="154">
        <v>14.4305</v>
      </c>
      <c r="G154" s="154">
        <v>10.314</v>
      </c>
      <c r="H154" s="154">
        <v>8.5749999999999993</v>
      </c>
      <c r="I154" s="154">
        <v>9.5311000000000003</v>
      </c>
      <c r="J154" s="154">
        <v>11.5647</v>
      </c>
      <c r="K154" s="154">
        <v>15.340400000000001</v>
      </c>
      <c r="L154" s="154">
        <v>19.7392</v>
      </c>
      <c r="M154" s="154">
        <v>24.1068</v>
      </c>
      <c r="N154" s="155">
        <v>25.851600000000001</v>
      </c>
      <c r="O154" s="156">
        <v>17.208100000000002</v>
      </c>
    </row>
    <row r="155" spans="1:16" ht="15" x14ac:dyDescent="0.25">
      <c r="A155" s="40">
        <f t="shared" si="35"/>
        <v>610</v>
      </c>
      <c r="B155" s="108">
        <v>10</v>
      </c>
      <c r="C155" s="153">
        <v>26.180700000000002</v>
      </c>
      <c r="D155" s="154">
        <v>22.483699999999999</v>
      </c>
      <c r="E155" s="154">
        <v>19.296800000000001</v>
      </c>
      <c r="F155" s="154">
        <v>15.179399999999999</v>
      </c>
      <c r="G155" s="154">
        <v>11.015499999999999</v>
      </c>
      <c r="H155" s="154">
        <v>9.2348999999999997</v>
      </c>
      <c r="I155" s="154">
        <v>10.292400000000001</v>
      </c>
      <c r="J155" s="154">
        <v>12.216200000000001</v>
      </c>
      <c r="K155" s="154">
        <v>15.9002</v>
      </c>
      <c r="L155" s="154">
        <v>20.065899999999999</v>
      </c>
      <c r="M155" s="154">
        <v>24.125299999999999</v>
      </c>
      <c r="N155" s="155">
        <v>25.654900000000001</v>
      </c>
      <c r="O155" s="156">
        <v>17.614100000000001</v>
      </c>
    </row>
    <row r="156" spans="1:16" ht="15" x14ac:dyDescent="0.25">
      <c r="A156" s="40">
        <f t="shared" si="35"/>
        <v>615</v>
      </c>
      <c r="B156" s="108">
        <v>15</v>
      </c>
      <c r="C156" s="153">
        <v>25.901800000000001</v>
      </c>
      <c r="D156" s="154">
        <v>22.554600000000001</v>
      </c>
      <c r="E156" s="154">
        <v>19.724799999999998</v>
      </c>
      <c r="F156" s="154">
        <v>15.8375</v>
      </c>
      <c r="G156" s="154">
        <v>11.6532</v>
      </c>
      <c r="H156" s="154">
        <v>9.8422000000000001</v>
      </c>
      <c r="I156" s="154">
        <v>10.992699999999999</v>
      </c>
      <c r="J156" s="154">
        <v>12.7971</v>
      </c>
      <c r="K156" s="154">
        <v>16.366399999999999</v>
      </c>
      <c r="L156" s="154">
        <v>20.272400000000001</v>
      </c>
      <c r="M156" s="154">
        <v>23.9971</v>
      </c>
      <c r="N156" s="155">
        <v>25.3019</v>
      </c>
      <c r="O156" s="156">
        <v>17.9145</v>
      </c>
    </row>
    <row r="157" spans="1:16" ht="15" x14ac:dyDescent="0.25">
      <c r="A157" s="40">
        <f t="shared" si="35"/>
        <v>620</v>
      </c>
      <c r="B157" s="108">
        <v>20</v>
      </c>
      <c r="C157" s="153">
        <v>25.463699999999999</v>
      </c>
      <c r="D157" s="154">
        <v>22.49</v>
      </c>
      <c r="E157" s="154">
        <v>20.033000000000001</v>
      </c>
      <c r="F157" s="154">
        <v>16.399799999999999</v>
      </c>
      <c r="G157" s="154">
        <v>12.222300000000001</v>
      </c>
      <c r="H157" s="154">
        <v>10.392300000000001</v>
      </c>
      <c r="I157" s="154">
        <v>11.6267</v>
      </c>
      <c r="J157" s="154">
        <v>13.303000000000001</v>
      </c>
      <c r="K157" s="154">
        <v>16.735399999999998</v>
      </c>
      <c r="L157" s="154">
        <v>20.356999999999999</v>
      </c>
      <c r="M157" s="154">
        <v>23.723299999999998</v>
      </c>
      <c r="N157" s="155">
        <v>24.795100000000001</v>
      </c>
      <c r="O157" s="156">
        <v>18.106999999999999</v>
      </c>
    </row>
    <row r="158" spans="1:16" ht="15" x14ac:dyDescent="0.25">
      <c r="A158" s="40">
        <f t="shared" si="35"/>
        <v>625</v>
      </c>
      <c r="B158" s="108">
        <v>25</v>
      </c>
      <c r="C158" s="157">
        <v>24.869700000000002</v>
      </c>
      <c r="D158" s="158">
        <v>22.290400000000002</v>
      </c>
      <c r="E158" s="158">
        <v>20.219200000000001</v>
      </c>
      <c r="F158" s="158">
        <v>16.861999999999998</v>
      </c>
      <c r="G158" s="158">
        <v>12.718400000000001</v>
      </c>
      <c r="H158" s="158">
        <v>10.881</v>
      </c>
      <c r="I158" s="158">
        <v>12.1896</v>
      </c>
      <c r="J158" s="158">
        <v>13.73</v>
      </c>
      <c r="K158" s="158">
        <v>17.0044</v>
      </c>
      <c r="L158" s="158">
        <v>20.319299999999998</v>
      </c>
      <c r="M158" s="158">
        <v>23.305800000000001</v>
      </c>
      <c r="N158" s="159">
        <v>24.140999999999998</v>
      </c>
      <c r="O158" s="160">
        <v>18.1905</v>
      </c>
    </row>
    <row r="159" spans="1:16" ht="15" x14ac:dyDescent="0.25">
      <c r="A159" s="40">
        <f t="shared" si="35"/>
        <v>630</v>
      </c>
      <c r="B159" s="108">
        <v>30</v>
      </c>
      <c r="C159" s="153">
        <v>24.1266</v>
      </c>
      <c r="D159" s="154">
        <v>21.9573</v>
      </c>
      <c r="E159" s="154">
        <v>20.2818</v>
      </c>
      <c r="F159" s="154">
        <v>17.220500000000001</v>
      </c>
      <c r="G159" s="154">
        <v>13.1378</v>
      </c>
      <c r="H159" s="154">
        <v>11.3047</v>
      </c>
      <c r="I159" s="154">
        <v>12.677</v>
      </c>
      <c r="J159" s="154">
        <v>14.0748</v>
      </c>
      <c r="K159" s="154">
        <v>17.171299999999999</v>
      </c>
      <c r="L159" s="154">
        <v>20.159400000000002</v>
      </c>
      <c r="M159" s="154">
        <v>22.747900000000001</v>
      </c>
      <c r="N159" s="155">
        <v>23.360299999999999</v>
      </c>
      <c r="O159" s="156">
        <v>18.165700000000001</v>
      </c>
    </row>
    <row r="160" spans="1:16" ht="15" x14ac:dyDescent="0.25">
      <c r="A160" s="40">
        <f t="shared" si="35"/>
        <v>635</v>
      </c>
      <c r="B160" s="108">
        <v>35</v>
      </c>
      <c r="C160" s="153">
        <v>23.262499999999999</v>
      </c>
      <c r="D160" s="154">
        <v>21.495699999999999</v>
      </c>
      <c r="E160" s="154">
        <v>20.220500000000001</v>
      </c>
      <c r="F160" s="154">
        <v>17.4727</v>
      </c>
      <c r="G160" s="154">
        <v>13.4773</v>
      </c>
      <c r="H160" s="154">
        <v>11.66</v>
      </c>
      <c r="I160" s="154">
        <v>13.0854</v>
      </c>
      <c r="J160" s="154">
        <v>14.3348</v>
      </c>
      <c r="K160" s="154">
        <v>17.234999999999999</v>
      </c>
      <c r="L160" s="154">
        <v>19.878499999999999</v>
      </c>
      <c r="M160" s="154">
        <v>22.053799999999999</v>
      </c>
      <c r="N160" s="155">
        <v>22.444900000000001</v>
      </c>
      <c r="O160" s="156">
        <v>18.033799999999999</v>
      </c>
    </row>
    <row r="161" spans="1:16" ht="15" x14ac:dyDescent="0.25">
      <c r="A161" s="40">
        <f t="shared" si="35"/>
        <v>640</v>
      </c>
      <c r="B161" s="108">
        <v>40</v>
      </c>
      <c r="C161" s="153">
        <v>22.2941</v>
      </c>
      <c r="D161" s="154">
        <v>20.915400000000002</v>
      </c>
      <c r="E161" s="154">
        <v>20.035699999999999</v>
      </c>
      <c r="F161" s="154">
        <v>17.616599999999998</v>
      </c>
      <c r="G161" s="154">
        <v>13.734299999999999</v>
      </c>
      <c r="H161" s="154">
        <v>11.9444</v>
      </c>
      <c r="I161" s="154">
        <v>13.4091</v>
      </c>
      <c r="J161" s="154">
        <v>14.508100000000001</v>
      </c>
      <c r="K161" s="154">
        <v>17.194800000000001</v>
      </c>
      <c r="L161" s="154">
        <v>19.478899999999999</v>
      </c>
      <c r="M161" s="154">
        <v>21.2288</v>
      </c>
      <c r="N161" s="155">
        <v>21.3979</v>
      </c>
      <c r="O161" s="156">
        <v>17.796600000000002</v>
      </c>
    </row>
    <row r="162" spans="1:16" ht="15" x14ac:dyDescent="0.25">
      <c r="A162" s="40">
        <f t="shared" si="35"/>
        <v>645</v>
      </c>
      <c r="B162" s="108">
        <v>45</v>
      </c>
      <c r="C162" s="153">
        <v>21.204499999999999</v>
      </c>
      <c r="D162" s="154">
        <v>20.2121</v>
      </c>
      <c r="E162" s="154">
        <v>19.7288</v>
      </c>
      <c r="F162" s="154">
        <v>17.6511</v>
      </c>
      <c r="G162" s="154">
        <v>13.9057</v>
      </c>
      <c r="H162" s="154">
        <v>12.1555</v>
      </c>
      <c r="I162" s="154">
        <v>13.642799999999999</v>
      </c>
      <c r="J162" s="154">
        <v>14.593400000000001</v>
      </c>
      <c r="K162" s="154">
        <v>17.051100000000002</v>
      </c>
      <c r="L162" s="154">
        <v>18.9636</v>
      </c>
      <c r="M162" s="154">
        <v>20.279199999999999</v>
      </c>
      <c r="N162" s="155">
        <v>20.246700000000001</v>
      </c>
      <c r="O162" s="156">
        <v>17.454499999999999</v>
      </c>
    </row>
    <row r="163" spans="1:16" ht="15" x14ac:dyDescent="0.25">
      <c r="A163" s="40">
        <f t="shared" si="35"/>
        <v>650</v>
      </c>
      <c r="B163" s="108">
        <v>50</v>
      </c>
      <c r="C163" s="153">
        <v>19.991399999999999</v>
      </c>
      <c r="D163" s="154">
        <v>19.391100000000002</v>
      </c>
      <c r="E163" s="154">
        <v>19.302099999999999</v>
      </c>
      <c r="F163" s="154">
        <v>17.576000000000001</v>
      </c>
      <c r="G163" s="154">
        <v>13.9895</v>
      </c>
      <c r="H163" s="154">
        <v>12.2872</v>
      </c>
      <c r="I163" s="154">
        <v>13.786899999999999</v>
      </c>
      <c r="J163" s="154">
        <v>14.5899</v>
      </c>
      <c r="K163" s="154">
        <v>16.805099999999999</v>
      </c>
      <c r="L163" s="154">
        <v>18.336400000000001</v>
      </c>
      <c r="M163" s="154">
        <v>19.213899999999999</v>
      </c>
      <c r="N163" s="155">
        <v>19.004999999999999</v>
      </c>
      <c r="O163" s="156">
        <v>17.009499999999999</v>
      </c>
    </row>
    <row r="164" spans="1:16" ht="15" x14ac:dyDescent="0.25">
      <c r="A164" s="40">
        <f t="shared" si="35"/>
        <v>655</v>
      </c>
      <c r="B164" s="108">
        <v>55</v>
      </c>
      <c r="C164" s="153">
        <v>18.664000000000001</v>
      </c>
      <c r="D164" s="154">
        <v>18.458600000000001</v>
      </c>
      <c r="E164" s="154">
        <v>18.759</v>
      </c>
      <c r="F164" s="154">
        <v>17.3918</v>
      </c>
      <c r="G164" s="154">
        <v>13.9864</v>
      </c>
      <c r="H164" s="154">
        <v>12.3383</v>
      </c>
      <c r="I164" s="154">
        <v>13.8406</v>
      </c>
      <c r="J164" s="154">
        <v>14.4977</v>
      </c>
      <c r="K164" s="154">
        <v>16.458500000000001</v>
      </c>
      <c r="L164" s="154">
        <v>17.6021</v>
      </c>
      <c r="M164" s="154">
        <v>18.0548</v>
      </c>
      <c r="N164" s="155">
        <v>17.661999999999999</v>
      </c>
      <c r="O164" s="156">
        <v>16.464400000000001</v>
      </c>
    </row>
    <row r="165" spans="1:16" ht="15" x14ac:dyDescent="0.25">
      <c r="A165" s="40">
        <f t="shared" si="35"/>
        <v>660</v>
      </c>
      <c r="B165" s="108">
        <v>60</v>
      </c>
      <c r="C165" s="153">
        <v>17.232500000000002</v>
      </c>
      <c r="D165" s="154">
        <v>17.421800000000001</v>
      </c>
      <c r="E165" s="154">
        <v>18.103400000000001</v>
      </c>
      <c r="F165" s="154">
        <v>17.100000000000001</v>
      </c>
      <c r="G165" s="154">
        <v>13.8972</v>
      </c>
      <c r="H165" s="154">
        <v>12.314</v>
      </c>
      <c r="I165" s="154">
        <v>13.807</v>
      </c>
      <c r="J165" s="154">
        <v>14.317500000000001</v>
      </c>
      <c r="K165" s="154">
        <v>16.013999999999999</v>
      </c>
      <c r="L165" s="154">
        <v>16.766400000000001</v>
      </c>
      <c r="M165" s="154">
        <v>16.835899999999999</v>
      </c>
      <c r="N165" s="155">
        <v>16.252500000000001</v>
      </c>
      <c r="O165" s="156">
        <v>15.8285</v>
      </c>
    </row>
    <row r="166" spans="1:16" ht="15" x14ac:dyDescent="0.25">
      <c r="A166" s="40">
        <f t="shared" si="35"/>
        <v>665</v>
      </c>
      <c r="B166" s="108">
        <v>65</v>
      </c>
      <c r="C166" s="153">
        <v>15.720499999999999</v>
      </c>
      <c r="D166" s="154">
        <v>16.288599999999999</v>
      </c>
      <c r="E166" s="154">
        <v>17.340499999999999</v>
      </c>
      <c r="F166" s="154">
        <v>16.7028</v>
      </c>
      <c r="G166" s="154">
        <v>13.723000000000001</v>
      </c>
      <c r="H166" s="154">
        <v>12.2159</v>
      </c>
      <c r="I166" s="154">
        <v>13.688599999999999</v>
      </c>
      <c r="J166" s="154">
        <v>14.050700000000001</v>
      </c>
      <c r="K166" s="154">
        <v>15.475</v>
      </c>
      <c r="L166" s="154">
        <v>15.8393</v>
      </c>
      <c r="M166" s="154">
        <v>15.5472</v>
      </c>
      <c r="N166" s="155">
        <v>14.7875</v>
      </c>
      <c r="O166" s="156">
        <v>15.1067</v>
      </c>
    </row>
    <row r="167" spans="1:16" ht="15" x14ac:dyDescent="0.25">
      <c r="A167" s="40">
        <f t="shared" si="35"/>
        <v>670</v>
      </c>
      <c r="B167" s="108">
        <v>70</v>
      </c>
      <c r="C167" s="153">
        <v>14.1691</v>
      </c>
      <c r="D167" s="154">
        <v>15.067500000000001</v>
      </c>
      <c r="E167" s="154">
        <v>16.475899999999999</v>
      </c>
      <c r="F167" s="154">
        <v>16.203099999999999</v>
      </c>
      <c r="G167" s="154">
        <v>13.4655</v>
      </c>
      <c r="H167" s="154">
        <v>12.045500000000001</v>
      </c>
      <c r="I167" s="154">
        <v>13.487299999999999</v>
      </c>
      <c r="J167" s="154">
        <v>13.699299999999999</v>
      </c>
      <c r="K167" s="154">
        <v>14.845599999999999</v>
      </c>
      <c r="L167" s="154">
        <v>14.8345</v>
      </c>
      <c r="M167" s="154">
        <v>14.178100000000001</v>
      </c>
      <c r="N167" s="155">
        <v>13.2539</v>
      </c>
      <c r="O167" s="156">
        <v>14.3041</v>
      </c>
    </row>
    <row r="168" spans="1:16" ht="15" x14ac:dyDescent="0.25">
      <c r="A168" s="40">
        <f t="shared" si="35"/>
        <v>675</v>
      </c>
      <c r="B168" s="108">
        <v>75</v>
      </c>
      <c r="C168" s="153">
        <v>12.627599999999999</v>
      </c>
      <c r="D168" s="154">
        <v>13.771699999999999</v>
      </c>
      <c r="E168" s="154">
        <v>15.516400000000001</v>
      </c>
      <c r="F168" s="154">
        <v>15.604799999999999</v>
      </c>
      <c r="G168" s="154">
        <v>13.1266</v>
      </c>
      <c r="H168" s="154">
        <v>11.804399999999999</v>
      </c>
      <c r="I168" s="154">
        <v>13.2052</v>
      </c>
      <c r="J168" s="154">
        <v>13.2659</v>
      </c>
      <c r="K168" s="154">
        <v>14.130599999999999</v>
      </c>
      <c r="L168" s="154">
        <v>13.755800000000001</v>
      </c>
      <c r="M168" s="154">
        <v>12.7379</v>
      </c>
      <c r="N168" s="155">
        <v>11.714600000000001</v>
      </c>
      <c r="O168" s="156">
        <v>13.4343</v>
      </c>
    </row>
    <row r="169" spans="1:16" ht="15" x14ac:dyDescent="0.25">
      <c r="A169" s="40">
        <f t="shared" si="35"/>
        <v>680</v>
      </c>
      <c r="B169" s="108">
        <v>80</v>
      </c>
      <c r="C169" s="153">
        <v>11.034700000000001</v>
      </c>
      <c r="D169" s="154">
        <v>12.4335</v>
      </c>
      <c r="E169" s="154">
        <v>14.469200000000001</v>
      </c>
      <c r="F169" s="154">
        <v>14.9124</v>
      </c>
      <c r="G169" s="154">
        <v>12.7089</v>
      </c>
      <c r="H169" s="154">
        <v>11.494300000000001</v>
      </c>
      <c r="I169" s="154">
        <v>12.844099999999999</v>
      </c>
      <c r="J169" s="154">
        <v>12.754</v>
      </c>
      <c r="K169" s="154">
        <v>13.3354</v>
      </c>
      <c r="L169" s="154">
        <v>12.6088</v>
      </c>
      <c r="M169" s="154">
        <v>11.2525</v>
      </c>
      <c r="N169" s="155">
        <v>10.168200000000001</v>
      </c>
      <c r="O169" s="156">
        <v>12.4992</v>
      </c>
    </row>
    <row r="170" spans="1:16" ht="15" x14ac:dyDescent="0.25">
      <c r="A170" s="40">
        <f t="shared" si="35"/>
        <v>685</v>
      </c>
      <c r="B170" s="109">
        <v>85</v>
      </c>
      <c r="C170" s="161">
        <v>9.4194999999999993</v>
      </c>
      <c r="D170" s="162">
        <v>11.0626</v>
      </c>
      <c r="E170" s="162">
        <v>13.3422</v>
      </c>
      <c r="F170" s="162">
        <v>14.1313</v>
      </c>
      <c r="G170" s="162">
        <v>12.215400000000001</v>
      </c>
      <c r="H170" s="162">
        <v>11.116899999999999</v>
      </c>
      <c r="I170" s="162">
        <v>12.406000000000001</v>
      </c>
      <c r="J170" s="162">
        <v>12.167299999999999</v>
      </c>
      <c r="K170" s="162">
        <v>12.466100000000001</v>
      </c>
      <c r="L170" s="162">
        <v>11.4002</v>
      </c>
      <c r="M170" s="162">
        <v>9.7861999999999991</v>
      </c>
      <c r="N170" s="163">
        <v>8.6670999999999996</v>
      </c>
      <c r="O170" s="164">
        <v>11.514799999999999</v>
      </c>
    </row>
    <row r="171" spans="1:16" x14ac:dyDescent="0.2">
      <c r="A171" s="40">
        <f t="shared" si="35"/>
        <v>690</v>
      </c>
      <c r="B171" s="40">
        <v>90</v>
      </c>
    </row>
    <row r="172" spans="1:16" x14ac:dyDescent="0.2">
      <c r="A172" s="40">
        <f t="shared" si="35"/>
        <v>691</v>
      </c>
      <c r="B172" s="40">
        <v>91</v>
      </c>
      <c r="C172" s="111">
        <f>T7</f>
        <v>23.875</v>
      </c>
      <c r="D172" s="111">
        <f t="shared" ref="D172:O172" si="36">U7</f>
        <v>23.05</v>
      </c>
      <c r="E172" s="111">
        <f t="shared" si="36"/>
        <v>21.05</v>
      </c>
      <c r="F172" s="111">
        <f t="shared" si="36"/>
        <v>17.574999999999999</v>
      </c>
      <c r="G172" s="111">
        <f t="shared" si="36"/>
        <v>14.350000000000001</v>
      </c>
      <c r="H172" s="111">
        <f t="shared" si="36"/>
        <v>11.324999999999999</v>
      </c>
      <c r="I172" s="111">
        <f t="shared" si="36"/>
        <v>11.25</v>
      </c>
      <c r="J172" s="111">
        <f t="shared" si="36"/>
        <v>12.175000000000001</v>
      </c>
      <c r="K172" s="111">
        <f t="shared" si="36"/>
        <v>13.95</v>
      </c>
      <c r="L172" s="111">
        <f t="shared" si="36"/>
        <v>16.7</v>
      </c>
      <c r="M172" s="111">
        <f t="shared" si="36"/>
        <v>19.5</v>
      </c>
      <c r="N172" s="111">
        <f t="shared" si="36"/>
        <v>22.325000000000003</v>
      </c>
      <c r="O172" s="111">
        <f t="shared" si="36"/>
        <v>17.274999999999999</v>
      </c>
      <c r="P172" s="344" t="s">
        <v>690</v>
      </c>
    </row>
    <row r="173" spans="1:16" x14ac:dyDescent="0.2">
      <c r="A173" s="40">
        <f t="shared" si="35"/>
        <v>692</v>
      </c>
      <c r="B173" s="40">
        <v>92</v>
      </c>
      <c r="C173" s="343">
        <f>T31</f>
        <v>28.4</v>
      </c>
      <c r="D173" s="343">
        <f t="shared" ref="D173:O173" si="37">U31</f>
        <v>28.5</v>
      </c>
      <c r="E173" s="343">
        <f t="shared" si="37"/>
        <v>26.1</v>
      </c>
      <c r="F173" s="343">
        <f t="shared" si="37"/>
        <v>21.7</v>
      </c>
      <c r="G173" s="343">
        <f t="shared" si="37"/>
        <v>16.600000000000001</v>
      </c>
      <c r="H173" s="343">
        <f t="shared" si="37"/>
        <v>12</v>
      </c>
      <c r="I173" s="343">
        <f t="shared" si="37"/>
        <v>9.3000000000000007</v>
      </c>
      <c r="J173" s="343">
        <f t="shared" si="37"/>
        <v>9.1999999999999993</v>
      </c>
      <c r="K173" s="343">
        <f t="shared" si="37"/>
        <v>11.7</v>
      </c>
      <c r="L173" s="343">
        <f t="shared" si="37"/>
        <v>16.100000000000001</v>
      </c>
      <c r="M173" s="343">
        <f t="shared" si="37"/>
        <v>21.3</v>
      </c>
      <c r="N173" s="343">
        <f t="shared" si="37"/>
        <v>25.8</v>
      </c>
      <c r="O173" s="343">
        <f t="shared" si="37"/>
        <v>0</v>
      </c>
    </row>
    <row r="175" spans="1:16" ht="15.75" x14ac:dyDescent="0.25">
      <c r="B175" s="89" t="s">
        <v>636</v>
      </c>
      <c r="C175"/>
      <c r="D175"/>
      <c r="E175"/>
      <c r="F175"/>
      <c r="G175" s="955" t="s">
        <v>613</v>
      </c>
      <c r="H175" s="955"/>
      <c r="I175" s="955"/>
      <c r="J175" s="955"/>
      <c r="K175" s="955"/>
      <c r="L175" s="955"/>
      <c r="M175" s="955"/>
      <c r="N175" s="955"/>
      <c r="O175" s="165">
        <v>7</v>
      </c>
    </row>
    <row r="176" spans="1:16" ht="15" x14ac:dyDescent="0.25">
      <c r="B176" t="s">
        <v>614</v>
      </c>
      <c r="C176" t="s">
        <v>637</v>
      </c>
      <c r="D176" t="s">
        <v>616</v>
      </c>
      <c r="E176" t="s">
        <v>638</v>
      </c>
      <c r="F176"/>
      <c r="G176" s="956" t="s">
        <v>618</v>
      </c>
      <c r="H176" s="956"/>
      <c r="I176" s="956"/>
      <c r="J176" s="956"/>
      <c r="K176" s="956"/>
      <c r="L176" s="956"/>
      <c r="M176" s="956"/>
      <c r="N176" s="956"/>
      <c r="O176" s="956"/>
    </row>
    <row r="177" spans="1:15" ht="15" x14ac:dyDescent="0.25">
      <c r="B177" s="90" t="s">
        <v>619</v>
      </c>
      <c r="C177" s="91" t="s">
        <v>4</v>
      </c>
      <c r="D177" s="91" t="s">
        <v>5</v>
      </c>
      <c r="E177" s="91" t="s">
        <v>6</v>
      </c>
      <c r="F177" s="91" t="s">
        <v>7</v>
      </c>
      <c r="G177" s="91" t="s">
        <v>8</v>
      </c>
      <c r="H177" s="91" t="s">
        <v>9</v>
      </c>
      <c r="I177" s="91" t="s">
        <v>10</v>
      </c>
      <c r="J177" s="91" t="s">
        <v>11</v>
      </c>
      <c r="K177" s="91" t="s">
        <v>12</v>
      </c>
      <c r="L177" s="91" t="s">
        <v>13</v>
      </c>
      <c r="M177" s="91" t="s">
        <v>14</v>
      </c>
      <c r="N177" s="91" t="s">
        <v>15</v>
      </c>
      <c r="O177" s="92" t="s">
        <v>620</v>
      </c>
    </row>
    <row r="178" spans="1:15" ht="15" x14ac:dyDescent="0.25">
      <c r="A178" s="40">
        <f>O$175*100+B178</f>
        <v>700</v>
      </c>
      <c r="B178" s="108">
        <v>0</v>
      </c>
      <c r="C178" s="93">
        <v>26.155899999999999</v>
      </c>
      <c r="D178" s="94">
        <v>21.684999999999999</v>
      </c>
      <c r="E178" s="94">
        <v>17.8643</v>
      </c>
      <c r="F178" s="94">
        <v>13.4756</v>
      </c>
      <c r="G178" s="94">
        <v>9.3539999999999992</v>
      </c>
      <c r="H178" s="94">
        <v>7.7872000000000003</v>
      </c>
      <c r="I178" s="94">
        <v>8.4822000000000006</v>
      </c>
      <c r="J178" s="94">
        <v>10.6395</v>
      </c>
      <c r="K178" s="94">
        <v>14.426</v>
      </c>
      <c r="L178" s="94">
        <v>19.026700000000002</v>
      </c>
      <c r="M178" s="94">
        <v>23.695900000000002</v>
      </c>
      <c r="N178" s="95">
        <v>25.864899999999999</v>
      </c>
      <c r="O178" s="96">
        <v>16.514399999999998</v>
      </c>
    </row>
    <row r="179" spans="1:15" ht="15" x14ac:dyDescent="0.25">
      <c r="A179" s="40">
        <f t="shared" ref="A179:A198" si="38">O$175*100+B179</f>
        <v>705</v>
      </c>
      <c r="B179" s="108">
        <v>5</v>
      </c>
      <c r="C179" s="93">
        <v>26.2043</v>
      </c>
      <c r="D179" s="94">
        <v>22.022300000000001</v>
      </c>
      <c r="E179" s="94">
        <v>18.5062</v>
      </c>
      <c r="F179" s="94">
        <v>14.309799999999999</v>
      </c>
      <c r="G179" s="94">
        <v>10.0799</v>
      </c>
      <c r="H179" s="94">
        <v>8.4984999999999999</v>
      </c>
      <c r="I179" s="94">
        <v>9.26</v>
      </c>
      <c r="J179" s="94">
        <v>11.3367</v>
      </c>
      <c r="K179" s="94">
        <v>15.0617</v>
      </c>
      <c r="L179" s="94">
        <v>19.4649</v>
      </c>
      <c r="M179" s="94">
        <v>23.863800000000001</v>
      </c>
      <c r="N179" s="95">
        <v>25.839300000000001</v>
      </c>
      <c r="O179" s="96">
        <v>17.0139</v>
      </c>
    </row>
    <row r="180" spans="1:15" ht="15" x14ac:dyDescent="0.25">
      <c r="A180" s="40">
        <f t="shared" si="38"/>
        <v>710</v>
      </c>
      <c r="B180" s="108">
        <v>10</v>
      </c>
      <c r="C180" s="93">
        <v>26.091899999999999</v>
      </c>
      <c r="D180" s="94">
        <v>22.2286</v>
      </c>
      <c r="E180" s="94">
        <v>19.0381</v>
      </c>
      <c r="F180" s="94">
        <v>15.0596</v>
      </c>
      <c r="G180" s="94">
        <v>10.7493</v>
      </c>
      <c r="H180" s="94">
        <v>9.1624999999999996</v>
      </c>
      <c r="I180" s="94">
        <v>9.9847999999999999</v>
      </c>
      <c r="J180" s="94">
        <v>11.9701</v>
      </c>
      <c r="K180" s="94">
        <v>15.610300000000001</v>
      </c>
      <c r="L180" s="94">
        <v>19.7879</v>
      </c>
      <c r="M180" s="94">
        <v>23.8872</v>
      </c>
      <c r="N180" s="95">
        <v>25.656500000000001</v>
      </c>
      <c r="O180" s="96">
        <v>17.412700000000001</v>
      </c>
    </row>
    <row r="181" spans="1:15" ht="15" x14ac:dyDescent="0.25">
      <c r="A181" s="40">
        <f t="shared" si="38"/>
        <v>715</v>
      </c>
      <c r="B181" s="108">
        <v>15</v>
      </c>
      <c r="C181" s="93">
        <v>25.819800000000001</v>
      </c>
      <c r="D181" s="94">
        <v>22.302499999999998</v>
      </c>
      <c r="E181" s="94">
        <v>19.456</v>
      </c>
      <c r="F181" s="94">
        <v>15.7193</v>
      </c>
      <c r="G181" s="94">
        <v>11.3573</v>
      </c>
      <c r="H181" s="94">
        <v>9.7744</v>
      </c>
      <c r="I181" s="94">
        <v>10.651</v>
      </c>
      <c r="J181" s="94">
        <v>12.534800000000001</v>
      </c>
      <c r="K181" s="94">
        <v>16.067499999999999</v>
      </c>
      <c r="L181" s="94">
        <v>19.993200000000002</v>
      </c>
      <c r="M181" s="94">
        <v>23.766100000000002</v>
      </c>
      <c r="N181" s="95">
        <v>25.318000000000001</v>
      </c>
      <c r="O181" s="96">
        <v>17.707699999999999</v>
      </c>
    </row>
    <row r="182" spans="1:15" ht="15" x14ac:dyDescent="0.25">
      <c r="A182" s="40">
        <f t="shared" si="38"/>
        <v>720</v>
      </c>
      <c r="B182" s="108">
        <v>20</v>
      </c>
      <c r="C182" s="93">
        <v>25.39</v>
      </c>
      <c r="D182" s="94">
        <v>22.243300000000001</v>
      </c>
      <c r="E182" s="94">
        <v>19.756699999999999</v>
      </c>
      <c r="F182" s="94">
        <v>16.283999999999999</v>
      </c>
      <c r="G182" s="94">
        <v>11.8992</v>
      </c>
      <c r="H182" s="94">
        <v>10.3293</v>
      </c>
      <c r="I182" s="94">
        <v>11.2537</v>
      </c>
      <c r="J182" s="94">
        <v>13.0265</v>
      </c>
      <c r="K182" s="94">
        <v>16.430099999999999</v>
      </c>
      <c r="L182" s="94">
        <v>20.0793</v>
      </c>
      <c r="M182" s="94">
        <v>23.501300000000001</v>
      </c>
      <c r="N182" s="95">
        <v>24.8261</v>
      </c>
      <c r="O182" s="96">
        <v>17.896799999999999</v>
      </c>
    </row>
    <row r="183" spans="1:15" ht="15" x14ac:dyDescent="0.25">
      <c r="A183" s="40">
        <f t="shared" si="38"/>
        <v>725</v>
      </c>
      <c r="B183" s="108">
        <v>25</v>
      </c>
      <c r="C183" s="97">
        <v>24.805599999999998</v>
      </c>
      <c r="D183" s="98">
        <v>22.051500000000001</v>
      </c>
      <c r="E183" s="98">
        <v>19.937799999999999</v>
      </c>
      <c r="F183" s="98">
        <v>16.749300000000002</v>
      </c>
      <c r="G183" s="98">
        <v>12.370799999999999</v>
      </c>
      <c r="H183" s="98">
        <v>10.8231</v>
      </c>
      <c r="I183" s="98">
        <v>11.7883</v>
      </c>
      <c r="J183" s="98">
        <v>13.4415</v>
      </c>
      <c r="K183" s="98">
        <v>16.6951</v>
      </c>
      <c r="L183" s="98">
        <v>20.045400000000001</v>
      </c>
      <c r="M183" s="98">
        <v>23.094799999999999</v>
      </c>
      <c r="N183" s="99">
        <v>24.189299999999999</v>
      </c>
      <c r="O183" s="100">
        <v>17.9788</v>
      </c>
    </row>
    <row r="184" spans="1:15" ht="15" x14ac:dyDescent="0.25">
      <c r="A184" s="40">
        <f t="shared" si="38"/>
        <v>730</v>
      </c>
      <c r="B184" s="108">
        <v>30</v>
      </c>
      <c r="C184" s="93">
        <v>24.080400000000001</v>
      </c>
      <c r="D184" s="94">
        <v>21.7285</v>
      </c>
      <c r="E184" s="94">
        <v>19.998100000000001</v>
      </c>
      <c r="F184" s="94">
        <v>17.111599999999999</v>
      </c>
      <c r="G184" s="94">
        <v>12.768700000000001</v>
      </c>
      <c r="H184" s="94">
        <v>11.252000000000001</v>
      </c>
      <c r="I184" s="94">
        <v>12.2506</v>
      </c>
      <c r="J184" s="94">
        <v>13.7766</v>
      </c>
      <c r="K184" s="94">
        <v>16.860499999999998</v>
      </c>
      <c r="L184" s="94">
        <v>19.8919</v>
      </c>
      <c r="M184" s="94">
        <v>22.549800000000001</v>
      </c>
      <c r="N184" s="95">
        <v>23.422599999999999</v>
      </c>
      <c r="O184" s="96">
        <v>17.954699999999999</v>
      </c>
    </row>
    <row r="185" spans="1:15" ht="15" x14ac:dyDescent="0.25">
      <c r="A185" s="40">
        <f t="shared" si="38"/>
        <v>735</v>
      </c>
      <c r="B185" s="108">
        <v>35</v>
      </c>
      <c r="C185" s="93">
        <v>23.232800000000001</v>
      </c>
      <c r="D185" s="94">
        <v>21.278700000000001</v>
      </c>
      <c r="E185" s="94">
        <v>19.937100000000001</v>
      </c>
      <c r="F185" s="94">
        <v>17.368300000000001</v>
      </c>
      <c r="G185" s="94">
        <v>13.089600000000001</v>
      </c>
      <c r="H185" s="94">
        <v>11.6128</v>
      </c>
      <c r="I185" s="94">
        <v>12.6371</v>
      </c>
      <c r="J185" s="94">
        <v>14.029299999999999</v>
      </c>
      <c r="K185" s="94">
        <v>16.9252</v>
      </c>
      <c r="L185" s="94">
        <v>19.619800000000001</v>
      </c>
      <c r="M185" s="94">
        <v>21.8704</v>
      </c>
      <c r="N185" s="95">
        <v>22.517499999999998</v>
      </c>
      <c r="O185" s="96">
        <v>17.8248</v>
      </c>
    </row>
    <row r="186" spans="1:15" ht="15" x14ac:dyDescent="0.25">
      <c r="A186" s="40">
        <f t="shared" si="38"/>
        <v>740</v>
      </c>
      <c r="B186" s="108">
        <v>40</v>
      </c>
      <c r="C186" s="93">
        <v>22.26</v>
      </c>
      <c r="D186" s="94">
        <v>20.710999999999999</v>
      </c>
      <c r="E186" s="94">
        <v>19.755099999999999</v>
      </c>
      <c r="F186" s="94">
        <v>17.517399999999999</v>
      </c>
      <c r="G186" s="94">
        <v>13.331300000000001</v>
      </c>
      <c r="H186" s="94">
        <v>11.902699999999999</v>
      </c>
      <c r="I186" s="94">
        <v>12.9442</v>
      </c>
      <c r="J186" s="94">
        <v>14.1976</v>
      </c>
      <c r="K186" s="94">
        <v>16.8886</v>
      </c>
      <c r="L186" s="94">
        <v>19.231400000000001</v>
      </c>
      <c r="M186" s="94">
        <v>21.061699999999998</v>
      </c>
      <c r="N186" s="95">
        <v>21.480599999999999</v>
      </c>
      <c r="O186" s="96">
        <v>17.589700000000001</v>
      </c>
    </row>
    <row r="187" spans="1:15" ht="15" x14ac:dyDescent="0.25">
      <c r="A187" s="40">
        <f t="shared" si="38"/>
        <v>745</v>
      </c>
      <c r="B187" s="108">
        <v>45</v>
      </c>
      <c r="C187" s="93">
        <v>21.183299999999999</v>
      </c>
      <c r="D187" s="94">
        <v>20.023900000000001</v>
      </c>
      <c r="E187" s="94">
        <v>19.453700000000001</v>
      </c>
      <c r="F187" s="94">
        <v>17.557700000000001</v>
      </c>
      <c r="G187" s="94">
        <v>13.4918</v>
      </c>
      <c r="H187" s="94">
        <v>12.119400000000001</v>
      </c>
      <c r="I187" s="94">
        <v>13.1663</v>
      </c>
      <c r="J187" s="94">
        <v>14.2804</v>
      </c>
      <c r="K187" s="94">
        <v>16.751000000000001</v>
      </c>
      <c r="L187" s="94">
        <v>18.729399999999998</v>
      </c>
      <c r="M187" s="94">
        <v>20.13</v>
      </c>
      <c r="N187" s="95">
        <v>20.326899999999998</v>
      </c>
      <c r="O187" s="96">
        <v>17.252099999999999</v>
      </c>
    </row>
    <row r="188" spans="1:15" ht="15" x14ac:dyDescent="0.25">
      <c r="A188" s="40">
        <f t="shared" si="38"/>
        <v>750</v>
      </c>
      <c r="B188" s="108">
        <v>50</v>
      </c>
      <c r="C188" s="93">
        <v>19.986000000000001</v>
      </c>
      <c r="D188" s="94">
        <v>19.2211</v>
      </c>
      <c r="E188" s="94">
        <v>19.0351</v>
      </c>
      <c r="F188" s="94">
        <v>17.488900000000001</v>
      </c>
      <c r="G188" s="94">
        <v>13.568899999999999</v>
      </c>
      <c r="H188" s="94">
        <v>12.261100000000001</v>
      </c>
      <c r="I188" s="94">
        <v>13.304</v>
      </c>
      <c r="J188" s="94">
        <v>14.2768</v>
      </c>
      <c r="K188" s="94">
        <v>16.513400000000001</v>
      </c>
      <c r="L188" s="94">
        <v>18.117899999999999</v>
      </c>
      <c r="M188" s="94">
        <v>19.0823</v>
      </c>
      <c r="N188" s="95">
        <v>19.085699999999999</v>
      </c>
      <c r="O188" s="96">
        <v>16.8141</v>
      </c>
    </row>
    <row r="189" spans="1:15" ht="15" x14ac:dyDescent="0.25">
      <c r="A189" s="40">
        <f t="shared" si="38"/>
        <v>755</v>
      </c>
      <c r="B189" s="108">
        <v>55</v>
      </c>
      <c r="C189" s="93">
        <v>18.6754</v>
      </c>
      <c r="D189" s="94">
        <v>18.308599999999998</v>
      </c>
      <c r="E189" s="94">
        <v>18.502500000000001</v>
      </c>
      <c r="F189" s="94">
        <v>17.311599999999999</v>
      </c>
      <c r="G189" s="94">
        <v>13.5624</v>
      </c>
      <c r="H189" s="94">
        <v>12.319900000000001</v>
      </c>
      <c r="I189" s="94">
        <v>13.3552</v>
      </c>
      <c r="J189" s="94">
        <v>14.187099999999999</v>
      </c>
      <c r="K189" s="94">
        <v>16.177600000000002</v>
      </c>
      <c r="L189" s="94">
        <v>17.401299999999999</v>
      </c>
      <c r="M189" s="94">
        <v>17.941299999999998</v>
      </c>
      <c r="N189" s="95">
        <v>17.756599999999999</v>
      </c>
      <c r="O189" s="96">
        <v>16.2789</v>
      </c>
    </row>
    <row r="190" spans="1:15" ht="15" x14ac:dyDescent="0.25">
      <c r="A190" s="40">
        <f t="shared" si="38"/>
        <v>760</v>
      </c>
      <c r="B190" s="108">
        <v>60</v>
      </c>
      <c r="C190" s="93">
        <v>17.2621</v>
      </c>
      <c r="D190" s="94">
        <v>17.293500000000002</v>
      </c>
      <c r="E190" s="94">
        <v>17.8599</v>
      </c>
      <c r="F190" s="94">
        <v>17.027000000000001</v>
      </c>
      <c r="G190" s="94">
        <v>13.473000000000001</v>
      </c>
      <c r="H190" s="94">
        <v>12.3017</v>
      </c>
      <c r="I190" s="94">
        <v>13.3216</v>
      </c>
      <c r="J190" s="94">
        <v>14.011699999999999</v>
      </c>
      <c r="K190" s="94">
        <v>15.7463</v>
      </c>
      <c r="L190" s="94">
        <v>16.5852</v>
      </c>
      <c r="M190" s="94">
        <v>16.747699999999998</v>
      </c>
      <c r="N190" s="95">
        <v>16.3719</v>
      </c>
      <c r="O190" s="96">
        <v>15.655799999999999</v>
      </c>
    </row>
    <row r="191" spans="1:15" ht="15" x14ac:dyDescent="0.25">
      <c r="A191" s="40">
        <f t="shared" si="38"/>
        <v>765</v>
      </c>
      <c r="B191" s="108">
        <v>65</v>
      </c>
      <c r="C191" s="93">
        <v>15.7773</v>
      </c>
      <c r="D191" s="94">
        <v>16.183499999999999</v>
      </c>
      <c r="E191" s="94">
        <v>17.112200000000001</v>
      </c>
      <c r="F191" s="94">
        <v>16.637499999999999</v>
      </c>
      <c r="G191" s="94">
        <v>13.3018</v>
      </c>
      <c r="H191" s="94">
        <v>12.2096</v>
      </c>
      <c r="I191" s="94">
        <v>13.206200000000001</v>
      </c>
      <c r="J191" s="94">
        <v>13.7522</v>
      </c>
      <c r="K191" s="94">
        <v>15.2226</v>
      </c>
      <c r="L191" s="94">
        <v>15.679</v>
      </c>
      <c r="M191" s="94">
        <v>15.479100000000001</v>
      </c>
      <c r="N191" s="95">
        <v>14.915900000000001</v>
      </c>
      <c r="O191" s="96">
        <v>14.947100000000001</v>
      </c>
    </row>
    <row r="192" spans="1:15" ht="15" x14ac:dyDescent="0.25">
      <c r="A192" s="40">
        <f t="shared" si="38"/>
        <v>770</v>
      </c>
      <c r="B192" s="108">
        <v>70</v>
      </c>
      <c r="C192" s="93">
        <v>14.234999999999999</v>
      </c>
      <c r="D192" s="94">
        <v>14.987</v>
      </c>
      <c r="E192" s="94">
        <v>16.2652</v>
      </c>
      <c r="F192" s="94">
        <v>16.145900000000001</v>
      </c>
      <c r="G192" s="94">
        <v>13.0503</v>
      </c>
      <c r="H192" s="94">
        <v>12.0449</v>
      </c>
      <c r="I192" s="94">
        <v>13.011100000000001</v>
      </c>
      <c r="J192" s="94">
        <v>13.410399999999999</v>
      </c>
      <c r="K192" s="94">
        <v>14.6106</v>
      </c>
      <c r="L192" s="94">
        <v>14.694800000000001</v>
      </c>
      <c r="M192" s="94">
        <v>14.1319</v>
      </c>
      <c r="N192" s="95">
        <v>13.3858</v>
      </c>
      <c r="O192" s="96">
        <v>14.1569</v>
      </c>
    </row>
    <row r="193" spans="1:16" ht="15" x14ac:dyDescent="0.25">
      <c r="A193" s="40">
        <f t="shared" si="38"/>
        <v>775</v>
      </c>
      <c r="B193" s="108">
        <v>75</v>
      </c>
      <c r="C193" s="93">
        <v>12.703099999999999</v>
      </c>
      <c r="D193" s="94">
        <v>13.7163</v>
      </c>
      <c r="E193" s="94">
        <v>15.3253</v>
      </c>
      <c r="F193" s="94">
        <v>15.555899999999999</v>
      </c>
      <c r="G193" s="94">
        <v>12.720499999999999</v>
      </c>
      <c r="H193" s="94">
        <v>11.809200000000001</v>
      </c>
      <c r="I193" s="94">
        <v>12.738099999999999</v>
      </c>
      <c r="J193" s="94">
        <v>12.989000000000001</v>
      </c>
      <c r="K193" s="94">
        <v>13.914999999999999</v>
      </c>
      <c r="L193" s="94">
        <v>13.638999999999999</v>
      </c>
      <c r="M193" s="94">
        <v>12.714399999999999</v>
      </c>
      <c r="N193" s="95">
        <v>11.836</v>
      </c>
      <c r="O193" s="96">
        <v>13.2996</v>
      </c>
    </row>
    <row r="194" spans="1:16" ht="15" x14ac:dyDescent="0.25">
      <c r="A194" s="40">
        <f t="shared" si="38"/>
        <v>780</v>
      </c>
      <c r="B194" s="108">
        <v>80</v>
      </c>
      <c r="C194" s="93">
        <v>11.1311</v>
      </c>
      <c r="D194" s="94">
        <v>12.4023</v>
      </c>
      <c r="E194" s="94">
        <v>14.2995</v>
      </c>
      <c r="F194" s="94">
        <v>14.8721</v>
      </c>
      <c r="G194" s="94">
        <v>12.3149</v>
      </c>
      <c r="H194" s="94">
        <v>11.504099999999999</v>
      </c>
      <c r="I194" s="94">
        <v>12.389099999999999</v>
      </c>
      <c r="J194" s="94">
        <v>12.491199999999999</v>
      </c>
      <c r="K194" s="94">
        <v>13.1409</v>
      </c>
      <c r="L194" s="94">
        <v>12.516299999999999</v>
      </c>
      <c r="M194" s="94">
        <v>11.2479</v>
      </c>
      <c r="N194" s="95">
        <v>10.307700000000001</v>
      </c>
      <c r="O194" s="96">
        <v>12.3813</v>
      </c>
    </row>
    <row r="195" spans="1:16" ht="15" x14ac:dyDescent="0.25">
      <c r="A195" s="40">
        <f t="shared" si="38"/>
        <v>785</v>
      </c>
      <c r="B195" s="109">
        <v>85</v>
      </c>
      <c r="C195" s="101">
        <v>9.5439000000000007</v>
      </c>
      <c r="D195" s="102">
        <v>11.0557</v>
      </c>
      <c r="E195" s="102">
        <v>13.1958</v>
      </c>
      <c r="F195" s="102">
        <v>14.0997</v>
      </c>
      <c r="G195" s="102">
        <v>11.836399999999999</v>
      </c>
      <c r="H195" s="102">
        <v>11.131500000000001</v>
      </c>
      <c r="I195" s="102">
        <v>11.9658</v>
      </c>
      <c r="J195" s="102">
        <v>11.9207</v>
      </c>
      <c r="K195" s="102">
        <v>12.2944</v>
      </c>
      <c r="L195" s="102">
        <v>11.3338</v>
      </c>
      <c r="M195" s="102">
        <v>9.8042999999999996</v>
      </c>
      <c r="N195" s="103">
        <v>8.8125</v>
      </c>
      <c r="O195" s="104">
        <v>11.4146</v>
      </c>
    </row>
    <row r="196" spans="1:16" x14ac:dyDescent="0.2">
      <c r="A196" s="40">
        <f t="shared" si="38"/>
        <v>790</v>
      </c>
      <c r="B196" s="40">
        <v>90</v>
      </c>
    </row>
    <row r="197" spans="1:16" x14ac:dyDescent="0.2">
      <c r="A197" s="40">
        <f t="shared" si="38"/>
        <v>791</v>
      </c>
      <c r="B197" s="40">
        <v>91</v>
      </c>
      <c r="C197" s="111">
        <f>T8</f>
        <v>23.65</v>
      </c>
      <c r="D197" s="111">
        <f t="shared" ref="D197:O197" si="39">U8</f>
        <v>23</v>
      </c>
      <c r="E197" s="111">
        <f t="shared" si="39"/>
        <v>21.05</v>
      </c>
      <c r="F197" s="111">
        <f t="shared" si="39"/>
        <v>17.45</v>
      </c>
      <c r="G197" s="111">
        <f t="shared" si="39"/>
        <v>14.25</v>
      </c>
      <c r="H197" s="111">
        <f t="shared" si="39"/>
        <v>11.25</v>
      </c>
      <c r="I197" s="111">
        <f t="shared" si="39"/>
        <v>11.05</v>
      </c>
      <c r="J197" s="111">
        <f t="shared" si="39"/>
        <v>12</v>
      </c>
      <c r="K197" s="111">
        <f t="shared" si="39"/>
        <v>13.75</v>
      </c>
      <c r="L197" s="111">
        <f t="shared" si="39"/>
        <v>16.5</v>
      </c>
      <c r="M197" s="111">
        <f t="shared" si="39"/>
        <v>19.149999999999999</v>
      </c>
      <c r="N197" s="111">
        <f t="shared" si="39"/>
        <v>22.05</v>
      </c>
      <c r="O197" s="111">
        <f t="shared" si="39"/>
        <v>17.100000000000001</v>
      </c>
      <c r="P197" s="344" t="s">
        <v>689</v>
      </c>
    </row>
    <row r="198" spans="1:16" x14ac:dyDescent="0.2">
      <c r="A198" s="40">
        <f t="shared" si="38"/>
        <v>792</v>
      </c>
      <c r="B198" s="40">
        <v>92</v>
      </c>
      <c r="C198" s="343">
        <f>T32</f>
        <v>28.4</v>
      </c>
      <c r="D198" s="343">
        <f t="shared" ref="D198:O198" si="40">U32</f>
        <v>28.5</v>
      </c>
      <c r="E198" s="343">
        <f t="shared" si="40"/>
        <v>26.1</v>
      </c>
      <c r="F198" s="343">
        <f t="shared" si="40"/>
        <v>21.7</v>
      </c>
      <c r="G198" s="343">
        <f t="shared" si="40"/>
        <v>16.600000000000001</v>
      </c>
      <c r="H198" s="343">
        <f t="shared" si="40"/>
        <v>12</v>
      </c>
      <c r="I198" s="343">
        <f t="shared" si="40"/>
        <v>9.3000000000000007</v>
      </c>
      <c r="J198" s="343">
        <f t="shared" si="40"/>
        <v>9.1999999999999993</v>
      </c>
      <c r="K198" s="343">
        <f t="shared" si="40"/>
        <v>11.7</v>
      </c>
      <c r="L198" s="343">
        <f t="shared" si="40"/>
        <v>16.100000000000001</v>
      </c>
      <c r="M198" s="343">
        <f t="shared" si="40"/>
        <v>21.3</v>
      </c>
      <c r="N198" s="343">
        <f t="shared" si="40"/>
        <v>25.8</v>
      </c>
      <c r="O198" s="343">
        <f t="shared" si="40"/>
        <v>0</v>
      </c>
    </row>
    <row r="200" spans="1:16" ht="15.75" x14ac:dyDescent="0.25">
      <c r="B200" s="167" t="s">
        <v>639</v>
      </c>
      <c r="C200" s="166"/>
      <c r="D200" s="166"/>
      <c r="E200" s="166"/>
      <c r="F200" s="166"/>
      <c r="G200" s="957" t="s">
        <v>613</v>
      </c>
      <c r="H200" s="957"/>
      <c r="I200" s="957"/>
      <c r="J200" s="957"/>
      <c r="K200" s="957"/>
      <c r="L200" s="957"/>
      <c r="M200" s="957"/>
      <c r="N200" s="957"/>
      <c r="O200" s="165">
        <v>8</v>
      </c>
    </row>
    <row r="201" spans="1:16" ht="14.25" x14ac:dyDescent="0.2">
      <c r="B201" s="166" t="s">
        <v>614</v>
      </c>
      <c r="C201" s="166" t="s">
        <v>640</v>
      </c>
      <c r="D201" s="166" t="s">
        <v>616</v>
      </c>
      <c r="E201" s="166" t="s">
        <v>641</v>
      </c>
      <c r="F201" s="166"/>
      <c r="G201" s="958" t="s">
        <v>618</v>
      </c>
      <c r="H201" s="958"/>
      <c r="I201" s="958"/>
      <c r="J201" s="958"/>
      <c r="K201" s="958"/>
      <c r="L201" s="958"/>
      <c r="M201" s="958"/>
      <c r="N201" s="958"/>
      <c r="O201" s="958"/>
    </row>
    <row r="202" spans="1:16" ht="15" x14ac:dyDescent="0.25">
      <c r="B202" s="168" t="s">
        <v>619</v>
      </c>
      <c r="C202" s="91" t="s">
        <v>4</v>
      </c>
      <c r="D202" s="91" t="s">
        <v>5</v>
      </c>
      <c r="E202" s="91" t="s">
        <v>6</v>
      </c>
      <c r="F202" s="91" t="s">
        <v>7</v>
      </c>
      <c r="G202" s="91" t="s">
        <v>8</v>
      </c>
      <c r="H202" s="91" t="s">
        <v>9</v>
      </c>
      <c r="I202" s="91" t="s">
        <v>10</v>
      </c>
      <c r="J202" s="91" t="s">
        <v>11</v>
      </c>
      <c r="K202" s="91" t="s">
        <v>12</v>
      </c>
      <c r="L202" s="91" t="s">
        <v>13</v>
      </c>
      <c r="M202" s="91" t="s">
        <v>14</v>
      </c>
      <c r="N202" s="91" t="s">
        <v>15</v>
      </c>
      <c r="O202" s="169" t="s">
        <v>620</v>
      </c>
    </row>
    <row r="203" spans="1:16" ht="15" x14ac:dyDescent="0.25">
      <c r="A203" s="40">
        <f>O$200*100+B203</f>
        <v>800</v>
      </c>
      <c r="B203" s="108">
        <v>0</v>
      </c>
      <c r="C203" s="170">
        <v>25.772200000000002</v>
      </c>
      <c r="D203" s="171">
        <v>21.173999999999999</v>
      </c>
      <c r="E203" s="171">
        <v>17.424800000000001</v>
      </c>
      <c r="F203" s="171">
        <v>13.281599999999999</v>
      </c>
      <c r="G203" s="171">
        <v>9.2721999999999998</v>
      </c>
      <c r="H203" s="171">
        <v>7.6679000000000004</v>
      </c>
      <c r="I203" s="171">
        <v>8.2962000000000007</v>
      </c>
      <c r="J203" s="171">
        <v>10.2722</v>
      </c>
      <c r="K203" s="171">
        <v>13.9665</v>
      </c>
      <c r="L203" s="171">
        <v>18.6587</v>
      </c>
      <c r="M203" s="171">
        <v>23.2409</v>
      </c>
      <c r="N203" s="172">
        <v>25.583200000000001</v>
      </c>
      <c r="O203" s="173">
        <v>16.1952</v>
      </c>
    </row>
    <row r="204" spans="1:16" ht="15" x14ac:dyDescent="0.25">
      <c r="A204" s="40">
        <f t="shared" ref="A204:A223" si="41">O$200*100+B204</f>
        <v>805</v>
      </c>
      <c r="B204" s="108">
        <v>5</v>
      </c>
      <c r="C204" s="170">
        <v>25.8384</v>
      </c>
      <c r="D204" s="171">
        <v>21.5014</v>
      </c>
      <c r="E204" s="171">
        <v>18.033100000000001</v>
      </c>
      <c r="F204" s="171">
        <v>14.0983</v>
      </c>
      <c r="G204" s="171">
        <v>9.9882000000000009</v>
      </c>
      <c r="H204" s="171">
        <v>8.3675999999999995</v>
      </c>
      <c r="I204" s="171">
        <v>9.0233000000000008</v>
      </c>
      <c r="J204" s="171">
        <v>10.9245</v>
      </c>
      <c r="K204" s="171">
        <v>14.564399999999999</v>
      </c>
      <c r="L204" s="171">
        <v>19.084900000000001</v>
      </c>
      <c r="M204" s="171">
        <v>23.407900000000001</v>
      </c>
      <c r="N204" s="172">
        <v>25.577300000000001</v>
      </c>
      <c r="O204" s="173">
        <v>16.678799999999999</v>
      </c>
    </row>
    <row r="205" spans="1:16" ht="15" x14ac:dyDescent="0.25">
      <c r="A205" s="40">
        <f t="shared" si="41"/>
        <v>810</v>
      </c>
      <c r="B205" s="108">
        <v>10</v>
      </c>
      <c r="C205" s="170">
        <v>25.747599999999998</v>
      </c>
      <c r="D205" s="171">
        <v>21.702100000000002</v>
      </c>
      <c r="E205" s="171">
        <v>18.535900000000002</v>
      </c>
      <c r="F205" s="171">
        <v>14.8324</v>
      </c>
      <c r="G205" s="171">
        <v>10.648400000000001</v>
      </c>
      <c r="H205" s="171">
        <v>9.0208999999999993</v>
      </c>
      <c r="I205" s="171">
        <v>9.6997</v>
      </c>
      <c r="J205" s="171">
        <v>11.5162</v>
      </c>
      <c r="K205" s="171">
        <v>15.0792</v>
      </c>
      <c r="L205" s="171">
        <v>19.399000000000001</v>
      </c>
      <c r="M205" s="171">
        <v>23.4346</v>
      </c>
      <c r="N205" s="172">
        <v>25.417200000000001</v>
      </c>
      <c r="O205" s="173">
        <v>17.064499999999999</v>
      </c>
    </row>
    <row r="206" spans="1:16" ht="15" x14ac:dyDescent="0.25">
      <c r="A206" s="40">
        <f t="shared" si="41"/>
        <v>815</v>
      </c>
      <c r="B206" s="108">
        <v>15</v>
      </c>
      <c r="C206" s="170">
        <v>25.5002</v>
      </c>
      <c r="D206" s="171">
        <v>21.7745</v>
      </c>
      <c r="E206" s="171">
        <v>18.929300000000001</v>
      </c>
      <c r="F206" s="171">
        <v>15.478199999999999</v>
      </c>
      <c r="G206" s="171">
        <v>11.2479</v>
      </c>
      <c r="H206" s="171">
        <v>9.6228999999999996</v>
      </c>
      <c r="I206" s="171">
        <v>10.3203</v>
      </c>
      <c r="J206" s="171">
        <v>12.0428</v>
      </c>
      <c r="K206" s="171">
        <v>15.5069</v>
      </c>
      <c r="L206" s="171">
        <v>19.598700000000001</v>
      </c>
      <c r="M206" s="171">
        <v>23.320699999999999</v>
      </c>
      <c r="N206" s="172">
        <v>25.104099999999999</v>
      </c>
      <c r="O206" s="173">
        <v>17.349599999999999</v>
      </c>
    </row>
    <row r="207" spans="1:16" ht="15" x14ac:dyDescent="0.25">
      <c r="A207" s="40">
        <f t="shared" si="41"/>
        <v>820</v>
      </c>
      <c r="B207" s="108">
        <v>20</v>
      </c>
      <c r="C207" s="170">
        <v>25.098400000000002</v>
      </c>
      <c r="D207" s="171">
        <v>21.7182</v>
      </c>
      <c r="E207" s="171">
        <v>19.2103</v>
      </c>
      <c r="F207" s="171">
        <v>16.030899999999999</v>
      </c>
      <c r="G207" s="171">
        <v>11.7819</v>
      </c>
      <c r="H207" s="171">
        <v>10.168900000000001</v>
      </c>
      <c r="I207" s="171">
        <v>10.8804</v>
      </c>
      <c r="J207" s="171">
        <v>12.5001</v>
      </c>
      <c r="K207" s="171">
        <v>15.844200000000001</v>
      </c>
      <c r="L207" s="171">
        <v>19.682300000000001</v>
      </c>
      <c r="M207" s="171">
        <v>23.067299999999999</v>
      </c>
      <c r="N207" s="172">
        <v>24.6404</v>
      </c>
      <c r="O207" s="173">
        <v>17.531700000000001</v>
      </c>
    </row>
    <row r="208" spans="1:16" ht="15" x14ac:dyDescent="0.25">
      <c r="A208" s="40">
        <f t="shared" si="41"/>
        <v>825</v>
      </c>
      <c r="B208" s="108">
        <v>25</v>
      </c>
      <c r="C208" s="174">
        <v>24.5456</v>
      </c>
      <c r="D208" s="175">
        <v>21.5335</v>
      </c>
      <c r="E208" s="175">
        <v>19.376799999999999</v>
      </c>
      <c r="F208" s="175">
        <v>16.4862</v>
      </c>
      <c r="G208" s="175">
        <v>12.246600000000001</v>
      </c>
      <c r="H208" s="175">
        <v>10.6549</v>
      </c>
      <c r="I208" s="175">
        <v>11.3757</v>
      </c>
      <c r="J208" s="175">
        <v>12.8848</v>
      </c>
      <c r="K208" s="175">
        <v>16.0886</v>
      </c>
      <c r="L208" s="175">
        <v>19.6493</v>
      </c>
      <c r="M208" s="175">
        <v>22.676100000000002</v>
      </c>
      <c r="N208" s="176">
        <v>24.034600000000001</v>
      </c>
      <c r="O208" s="177">
        <v>17.6099</v>
      </c>
    </row>
    <row r="209" spans="1:16" ht="15" x14ac:dyDescent="0.25">
      <c r="A209" s="40">
        <f t="shared" si="41"/>
        <v>830</v>
      </c>
      <c r="B209" s="108">
        <v>30</v>
      </c>
      <c r="C209" s="170">
        <v>23.865300000000001</v>
      </c>
      <c r="D209" s="171">
        <v>21.221900000000002</v>
      </c>
      <c r="E209" s="171">
        <v>19.427499999999998</v>
      </c>
      <c r="F209" s="171">
        <v>16.840699999999998</v>
      </c>
      <c r="G209" s="171">
        <v>12.638400000000001</v>
      </c>
      <c r="H209" s="171">
        <v>11.0771</v>
      </c>
      <c r="I209" s="171">
        <v>11.8025</v>
      </c>
      <c r="J209" s="171">
        <v>13.193899999999999</v>
      </c>
      <c r="K209" s="171">
        <v>16.238199999999999</v>
      </c>
      <c r="L209" s="171">
        <v>19.4999</v>
      </c>
      <c r="M209" s="171">
        <v>22.150200000000002</v>
      </c>
      <c r="N209" s="172">
        <v>23.2927</v>
      </c>
      <c r="O209" s="173">
        <v>17.585599999999999</v>
      </c>
    </row>
    <row r="210" spans="1:16" ht="15" x14ac:dyDescent="0.25">
      <c r="A210" s="40">
        <f t="shared" si="41"/>
        <v>835</v>
      </c>
      <c r="B210" s="108">
        <v>35</v>
      </c>
      <c r="C210" s="170">
        <v>23.051100000000002</v>
      </c>
      <c r="D210" s="171">
        <v>20.785699999999999</v>
      </c>
      <c r="E210" s="171">
        <v>19.361999999999998</v>
      </c>
      <c r="F210" s="171">
        <v>17.0916</v>
      </c>
      <c r="G210" s="171">
        <v>12.9542</v>
      </c>
      <c r="H210" s="171">
        <v>11.4323</v>
      </c>
      <c r="I210" s="171">
        <v>12.157500000000001</v>
      </c>
      <c r="J210" s="171">
        <v>13.425000000000001</v>
      </c>
      <c r="K210" s="171">
        <v>16.291899999999998</v>
      </c>
      <c r="L210" s="171">
        <v>19.235299999999999</v>
      </c>
      <c r="M210" s="171">
        <v>21.493600000000001</v>
      </c>
      <c r="N210" s="172">
        <v>22.414000000000001</v>
      </c>
      <c r="O210" s="173">
        <v>17.457100000000001</v>
      </c>
    </row>
    <row r="211" spans="1:16" ht="15" x14ac:dyDescent="0.25">
      <c r="A211" s="40">
        <f t="shared" si="41"/>
        <v>840</v>
      </c>
      <c r="B211" s="108">
        <v>40</v>
      </c>
      <c r="C211" s="170">
        <v>22.101400000000002</v>
      </c>
      <c r="D211" s="171">
        <v>20.229500000000002</v>
      </c>
      <c r="E211" s="171">
        <v>19.180900000000001</v>
      </c>
      <c r="F211" s="171">
        <v>17.237100000000002</v>
      </c>
      <c r="G211" s="171">
        <v>13.191700000000001</v>
      </c>
      <c r="H211" s="171">
        <v>11.717700000000001</v>
      </c>
      <c r="I211" s="171">
        <v>12.438000000000001</v>
      </c>
      <c r="J211" s="171">
        <v>13.576499999999999</v>
      </c>
      <c r="K211" s="171">
        <v>16.249300000000002</v>
      </c>
      <c r="L211" s="171">
        <v>18.857399999999998</v>
      </c>
      <c r="M211" s="171">
        <v>20.711200000000002</v>
      </c>
      <c r="N211" s="172">
        <v>21.405100000000001</v>
      </c>
      <c r="O211" s="173">
        <v>17.225100000000001</v>
      </c>
    </row>
    <row r="212" spans="1:16" ht="15" x14ac:dyDescent="0.25">
      <c r="A212" s="40">
        <f t="shared" si="41"/>
        <v>845</v>
      </c>
      <c r="B212" s="108">
        <v>45</v>
      </c>
      <c r="C212" s="170">
        <v>21.045999999999999</v>
      </c>
      <c r="D212" s="171">
        <v>19.5657</v>
      </c>
      <c r="E212" s="171">
        <v>18.885400000000001</v>
      </c>
      <c r="F212" s="171">
        <v>17.2761</v>
      </c>
      <c r="G212" s="171">
        <v>13.349</v>
      </c>
      <c r="H212" s="171">
        <v>11.9314</v>
      </c>
      <c r="I212" s="171">
        <v>12.64</v>
      </c>
      <c r="J212" s="171">
        <v>13.6471</v>
      </c>
      <c r="K212" s="171">
        <v>16.110700000000001</v>
      </c>
      <c r="L212" s="171">
        <v>18.369199999999999</v>
      </c>
      <c r="M212" s="171">
        <v>19.809100000000001</v>
      </c>
      <c r="N212" s="172">
        <v>20.2744</v>
      </c>
      <c r="O212" s="173">
        <v>16.893699999999999</v>
      </c>
    </row>
    <row r="213" spans="1:16" ht="15" x14ac:dyDescent="0.25">
      <c r="A213" s="40">
        <f t="shared" si="41"/>
        <v>850</v>
      </c>
      <c r="B213" s="108">
        <v>50</v>
      </c>
      <c r="C213" s="170">
        <v>19.8794</v>
      </c>
      <c r="D213" s="171">
        <v>18.789899999999999</v>
      </c>
      <c r="E213" s="171">
        <v>18.477900000000002</v>
      </c>
      <c r="F213" s="171">
        <v>17.208100000000002</v>
      </c>
      <c r="G213" s="171">
        <v>13.425000000000001</v>
      </c>
      <c r="H213" s="171">
        <v>12.0715</v>
      </c>
      <c r="I213" s="171">
        <v>12.7615</v>
      </c>
      <c r="J213" s="171">
        <v>13.6364</v>
      </c>
      <c r="K213" s="171">
        <v>15.8771</v>
      </c>
      <c r="L213" s="171">
        <v>17.7743</v>
      </c>
      <c r="M213" s="171">
        <v>18.7941</v>
      </c>
      <c r="N213" s="172">
        <v>19.047899999999998</v>
      </c>
      <c r="O213" s="173">
        <v>16.465</v>
      </c>
    </row>
    <row r="214" spans="1:16" ht="15" x14ac:dyDescent="0.25">
      <c r="A214" s="40">
        <f t="shared" si="41"/>
        <v>855</v>
      </c>
      <c r="B214" s="108">
        <v>55</v>
      </c>
      <c r="C214" s="170">
        <v>18.600999999999999</v>
      </c>
      <c r="D214" s="171">
        <v>17.908000000000001</v>
      </c>
      <c r="E214" s="171">
        <v>17.961500000000001</v>
      </c>
      <c r="F214" s="171">
        <v>17.033899999999999</v>
      </c>
      <c r="G214" s="171">
        <v>13.417999999999999</v>
      </c>
      <c r="H214" s="171">
        <v>12.136200000000001</v>
      </c>
      <c r="I214" s="171">
        <v>12.8032</v>
      </c>
      <c r="J214" s="171">
        <v>13.5443</v>
      </c>
      <c r="K214" s="171">
        <v>15.5504</v>
      </c>
      <c r="L214" s="171">
        <v>17.077400000000001</v>
      </c>
      <c r="M214" s="171">
        <v>17.695699999999999</v>
      </c>
      <c r="N214" s="172">
        <v>17.7514</v>
      </c>
      <c r="O214" s="173">
        <v>15.944599999999999</v>
      </c>
    </row>
    <row r="215" spans="1:16" ht="15" x14ac:dyDescent="0.25">
      <c r="A215" s="40">
        <f t="shared" si="41"/>
        <v>860</v>
      </c>
      <c r="B215" s="108">
        <v>60</v>
      </c>
      <c r="C215" s="170">
        <v>17.225100000000001</v>
      </c>
      <c r="D215" s="171">
        <v>16.9268</v>
      </c>
      <c r="E215" s="171">
        <v>17.34</v>
      </c>
      <c r="F215" s="171">
        <v>16.7547</v>
      </c>
      <c r="G215" s="171">
        <v>13.3287</v>
      </c>
      <c r="H215" s="171">
        <v>12.1214</v>
      </c>
      <c r="I215" s="171">
        <v>12.7645</v>
      </c>
      <c r="J215" s="171">
        <v>13.371600000000001</v>
      </c>
      <c r="K215" s="171">
        <v>15.132899999999999</v>
      </c>
      <c r="L215" s="171">
        <v>16.2849</v>
      </c>
      <c r="M215" s="171">
        <v>16.5319</v>
      </c>
      <c r="N215" s="172">
        <v>16.401</v>
      </c>
      <c r="O215" s="173">
        <v>15.337999999999999</v>
      </c>
    </row>
    <row r="216" spans="1:16" ht="15" x14ac:dyDescent="0.25">
      <c r="A216" s="40">
        <f t="shared" si="41"/>
        <v>865</v>
      </c>
      <c r="B216" s="108">
        <v>65</v>
      </c>
      <c r="C216" s="170">
        <v>15.7818</v>
      </c>
      <c r="D216" s="171">
        <v>15.8536</v>
      </c>
      <c r="E216" s="171">
        <v>16.618300000000001</v>
      </c>
      <c r="F216" s="171">
        <v>16.372499999999999</v>
      </c>
      <c r="G216" s="171">
        <v>13.1586</v>
      </c>
      <c r="H216" s="171">
        <v>12.0327</v>
      </c>
      <c r="I216" s="171">
        <v>12.647399999999999</v>
      </c>
      <c r="J216" s="171">
        <v>13.1196</v>
      </c>
      <c r="K216" s="171">
        <v>14.628</v>
      </c>
      <c r="L216" s="171">
        <v>15.4061</v>
      </c>
      <c r="M216" s="171">
        <v>15.2926</v>
      </c>
      <c r="N216" s="172">
        <v>14.9702</v>
      </c>
      <c r="O216" s="173">
        <v>14.6478</v>
      </c>
    </row>
    <row r="217" spans="1:16" ht="15" x14ac:dyDescent="0.25">
      <c r="A217" s="40">
        <f t="shared" si="41"/>
        <v>870</v>
      </c>
      <c r="B217" s="108">
        <v>70</v>
      </c>
      <c r="C217" s="170">
        <v>14.278499999999999</v>
      </c>
      <c r="D217" s="171">
        <v>14.6968</v>
      </c>
      <c r="E217" s="171">
        <v>15.8017</v>
      </c>
      <c r="F217" s="171">
        <v>15.890499999999999</v>
      </c>
      <c r="G217" s="171">
        <v>12.9091</v>
      </c>
      <c r="H217" s="171">
        <v>11.8719</v>
      </c>
      <c r="I217" s="171">
        <v>12.4544</v>
      </c>
      <c r="J217" s="171">
        <v>12.7903</v>
      </c>
      <c r="K217" s="171">
        <v>14.039400000000001</v>
      </c>
      <c r="L217" s="171">
        <v>14.4472</v>
      </c>
      <c r="M217" s="171">
        <v>13.981</v>
      </c>
      <c r="N217" s="172">
        <v>13.465999999999999</v>
      </c>
      <c r="O217" s="173">
        <v>13.8782</v>
      </c>
    </row>
    <row r="218" spans="1:16" ht="15" x14ac:dyDescent="0.25">
      <c r="A218" s="40">
        <f t="shared" si="41"/>
        <v>875</v>
      </c>
      <c r="B218" s="108">
        <v>75</v>
      </c>
      <c r="C218" s="170">
        <v>12.7479</v>
      </c>
      <c r="D218" s="171">
        <v>13.4719</v>
      </c>
      <c r="E218" s="171">
        <v>14.896599999999999</v>
      </c>
      <c r="F218" s="171">
        <v>15.312099999999999</v>
      </c>
      <c r="G218" s="171">
        <v>12.5824</v>
      </c>
      <c r="H218" s="171">
        <v>11.640700000000001</v>
      </c>
      <c r="I218" s="171">
        <v>12.1874</v>
      </c>
      <c r="J218" s="171">
        <v>12.385999999999999</v>
      </c>
      <c r="K218" s="171">
        <v>13.371600000000001</v>
      </c>
      <c r="L218" s="171">
        <v>13.417999999999999</v>
      </c>
      <c r="M218" s="171">
        <v>12.601100000000001</v>
      </c>
      <c r="N218" s="172">
        <v>11.921200000000001</v>
      </c>
      <c r="O218" s="173">
        <v>13.039199999999999</v>
      </c>
    </row>
    <row r="219" spans="1:16" ht="15" x14ac:dyDescent="0.25">
      <c r="A219" s="40">
        <f t="shared" si="41"/>
        <v>880</v>
      </c>
      <c r="B219" s="108">
        <v>80</v>
      </c>
      <c r="C219" s="170">
        <v>11.197699999999999</v>
      </c>
      <c r="D219" s="171">
        <v>12.198600000000001</v>
      </c>
      <c r="E219" s="171">
        <v>13.909800000000001</v>
      </c>
      <c r="F219" s="171">
        <v>14.6418</v>
      </c>
      <c r="G219" s="171">
        <v>12.1808</v>
      </c>
      <c r="H219" s="171">
        <v>11.3406</v>
      </c>
      <c r="I219" s="171">
        <v>11.8483</v>
      </c>
      <c r="J219" s="171">
        <v>11.91</v>
      </c>
      <c r="K219" s="171">
        <v>12.629799999999999</v>
      </c>
      <c r="L219" s="171">
        <v>12.324</v>
      </c>
      <c r="M219" s="171">
        <v>11.1739</v>
      </c>
      <c r="N219" s="172">
        <v>10.421099999999999</v>
      </c>
      <c r="O219" s="173">
        <v>12.144299999999999</v>
      </c>
    </row>
    <row r="220" spans="1:16" ht="15" x14ac:dyDescent="0.25">
      <c r="A220" s="40">
        <f t="shared" si="41"/>
        <v>885</v>
      </c>
      <c r="B220" s="109">
        <v>85</v>
      </c>
      <c r="C220" s="178">
        <v>9.6365999999999996</v>
      </c>
      <c r="D220" s="179">
        <v>10.892200000000001</v>
      </c>
      <c r="E220" s="179">
        <v>12.848800000000001</v>
      </c>
      <c r="F220" s="179">
        <v>13.8847</v>
      </c>
      <c r="G220" s="179">
        <v>11.7073</v>
      </c>
      <c r="H220" s="179">
        <v>10.973000000000001</v>
      </c>
      <c r="I220" s="179">
        <v>11.4384</v>
      </c>
      <c r="J220" s="179">
        <v>11.3659</v>
      </c>
      <c r="K220" s="179">
        <v>11.8194</v>
      </c>
      <c r="L220" s="179">
        <v>11.1723</v>
      </c>
      <c r="M220" s="179">
        <v>9.7661999999999995</v>
      </c>
      <c r="N220" s="180">
        <v>8.9403000000000006</v>
      </c>
      <c r="O220" s="181">
        <v>11.2019</v>
      </c>
    </row>
    <row r="221" spans="1:16" x14ac:dyDescent="0.2">
      <c r="A221" s="40">
        <f t="shared" si="41"/>
        <v>890</v>
      </c>
      <c r="B221" s="40">
        <v>90</v>
      </c>
    </row>
    <row r="222" spans="1:16" x14ac:dyDescent="0.2">
      <c r="A222" s="40">
        <f t="shared" si="41"/>
        <v>891</v>
      </c>
      <c r="B222" s="40">
        <v>91</v>
      </c>
      <c r="C222" s="111">
        <f>T9</f>
        <v>22.799999999999997</v>
      </c>
      <c r="D222" s="111">
        <f t="shared" ref="D222:O222" si="42">U9</f>
        <v>22.4</v>
      </c>
      <c r="E222" s="111">
        <f t="shared" si="42"/>
        <v>20.55</v>
      </c>
      <c r="F222" s="111">
        <f t="shared" si="42"/>
        <v>17.2</v>
      </c>
      <c r="G222" s="111">
        <f t="shared" si="42"/>
        <v>13.9</v>
      </c>
      <c r="H222" s="111">
        <f t="shared" si="42"/>
        <v>11.1</v>
      </c>
      <c r="I222" s="111">
        <f t="shared" si="42"/>
        <v>11</v>
      </c>
      <c r="J222" s="111">
        <f t="shared" si="42"/>
        <v>11.85</v>
      </c>
      <c r="K222" s="111">
        <f t="shared" si="42"/>
        <v>13.5</v>
      </c>
      <c r="L222" s="111">
        <f t="shared" si="42"/>
        <v>16</v>
      </c>
      <c r="M222" s="111">
        <f t="shared" si="42"/>
        <v>18.5</v>
      </c>
      <c r="N222" s="111">
        <f t="shared" si="42"/>
        <v>21.3</v>
      </c>
      <c r="O222" s="111">
        <f t="shared" si="42"/>
        <v>16.649999999999999</v>
      </c>
      <c r="P222" s="344" t="s">
        <v>688</v>
      </c>
    </row>
    <row r="223" spans="1:16" x14ac:dyDescent="0.2">
      <c r="A223" s="40">
        <f t="shared" si="41"/>
        <v>892</v>
      </c>
      <c r="B223" s="40">
        <v>92</v>
      </c>
      <c r="C223" s="343">
        <f>T33</f>
        <v>28.4</v>
      </c>
      <c r="D223" s="343">
        <f t="shared" ref="D223:O223" si="43">U33</f>
        <v>28.5</v>
      </c>
      <c r="E223" s="343">
        <f t="shared" si="43"/>
        <v>26.1</v>
      </c>
      <c r="F223" s="343">
        <f t="shared" si="43"/>
        <v>21.7</v>
      </c>
      <c r="G223" s="343">
        <f t="shared" si="43"/>
        <v>16.600000000000001</v>
      </c>
      <c r="H223" s="343">
        <f t="shared" si="43"/>
        <v>12</v>
      </c>
      <c r="I223" s="343">
        <f t="shared" si="43"/>
        <v>9.3000000000000007</v>
      </c>
      <c r="J223" s="343">
        <f t="shared" si="43"/>
        <v>9.1999999999999993</v>
      </c>
      <c r="K223" s="343">
        <f t="shared" si="43"/>
        <v>11.7</v>
      </c>
      <c r="L223" s="343">
        <f t="shared" si="43"/>
        <v>16.100000000000001</v>
      </c>
      <c r="M223" s="343">
        <f t="shared" si="43"/>
        <v>21.3</v>
      </c>
      <c r="N223" s="343">
        <f t="shared" si="43"/>
        <v>25.8</v>
      </c>
      <c r="O223" s="343">
        <f t="shared" si="43"/>
        <v>0</v>
      </c>
    </row>
    <row r="225" spans="1:15" ht="15.75" x14ac:dyDescent="0.25">
      <c r="B225" s="183" t="s">
        <v>642</v>
      </c>
      <c r="C225" s="182"/>
      <c r="D225" s="182"/>
      <c r="E225" s="182"/>
      <c r="F225" s="182"/>
      <c r="G225" s="957" t="s">
        <v>613</v>
      </c>
      <c r="H225" s="957"/>
      <c r="I225" s="957"/>
      <c r="J225" s="957"/>
      <c r="K225" s="957"/>
      <c r="L225" s="957"/>
      <c r="M225" s="957"/>
      <c r="N225" s="957"/>
      <c r="O225" s="165">
        <v>9</v>
      </c>
    </row>
    <row r="226" spans="1:15" ht="14.25" x14ac:dyDescent="0.2">
      <c r="B226" s="182" t="s">
        <v>614</v>
      </c>
      <c r="C226" s="182" t="s">
        <v>643</v>
      </c>
      <c r="D226" s="182" t="s">
        <v>616</v>
      </c>
      <c r="E226" s="182" t="s">
        <v>644</v>
      </c>
      <c r="F226" s="182"/>
      <c r="G226" s="958" t="s">
        <v>618</v>
      </c>
      <c r="H226" s="958"/>
      <c r="I226" s="958"/>
      <c r="J226" s="958"/>
      <c r="K226" s="958"/>
      <c r="L226" s="958"/>
      <c r="M226" s="958"/>
      <c r="N226" s="958"/>
      <c r="O226" s="958"/>
    </row>
    <row r="227" spans="1:15" ht="15" x14ac:dyDescent="0.25">
      <c r="B227" s="184" t="s">
        <v>619</v>
      </c>
      <c r="C227" s="91" t="s">
        <v>4</v>
      </c>
      <c r="D227" s="91" t="s">
        <v>5</v>
      </c>
      <c r="E227" s="91" t="s">
        <v>6</v>
      </c>
      <c r="F227" s="91" t="s">
        <v>7</v>
      </c>
      <c r="G227" s="91" t="s">
        <v>8</v>
      </c>
      <c r="H227" s="91" t="s">
        <v>9</v>
      </c>
      <c r="I227" s="91" t="s">
        <v>10</v>
      </c>
      <c r="J227" s="91" t="s">
        <v>11</v>
      </c>
      <c r="K227" s="91" t="s">
        <v>12</v>
      </c>
      <c r="L227" s="91" t="s">
        <v>13</v>
      </c>
      <c r="M227" s="91" t="s">
        <v>14</v>
      </c>
      <c r="N227" s="91" t="s">
        <v>15</v>
      </c>
      <c r="O227" s="185" t="s">
        <v>620</v>
      </c>
    </row>
    <row r="228" spans="1:15" ht="15" x14ac:dyDescent="0.25">
      <c r="A228" s="40">
        <f>O$225*100+B228</f>
        <v>900</v>
      </c>
      <c r="B228" s="108">
        <v>0</v>
      </c>
      <c r="C228" s="186">
        <v>25.901900000000001</v>
      </c>
      <c r="D228" s="187">
        <v>21.1752</v>
      </c>
      <c r="E228" s="187">
        <v>17.263500000000001</v>
      </c>
      <c r="F228" s="187">
        <v>12.8833</v>
      </c>
      <c r="G228" s="187">
        <v>8.9481999999999999</v>
      </c>
      <c r="H228" s="187">
        <v>7.4591000000000003</v>
      </c>
      <c r="I228" s="187">
        <v>7.9631999999999996</v>
      </c>
      <c r="J228" s="187">
        <v>10.018700000000001</v>
      </c>
      <c r="K228" s="187">
        <v>13.737299999999999</v>
      </c>
      <c r="L228" s="187">
        <v>18.5031</v>
      </c>
      <c r="M228" s="187">
        <v>22.947399999999998</v>
      </c>
      <c r="N228" s="188">
        <v>25.734500000000001</v>
      </c>
      <c r="O228" s="189">
        <v>16.021999999999998</v>
      </c>
    </row>
    <row r="229" spans="1:15" ht="15" x14ac:dyDescent="0.25">
      <c r="A229" s="40">
        <f t="shared" ref="A229:A248" si="44">O$225*100+B229</f>
        <v>905</v>
      </c>
      <c r="B229" s="108">
        <v>5</v>
      </c>
      <c r="C229" s="186">
        <v>25.9801</v>
      </c>
      <c r="D229" s="187">
        <v>21.507999999999999</v>
      </c>
      <c r="E229" s="187">
        <v>17.878399999999999</v>
      </c>
      <c r="F229" s="187">
        <v>13.6737</v>
      </c>
      <c r="G229" s="187">
        <v>9.6315000000000008</v>
      </c>
      <c r="H229" s="187">
        <v>8.1569000000000003</v>
      </c>
      <c r="I229" s="187">
        <v>8.6559000000000008</v>
      </c>
      <c r="J229" s="187">
        <v>10.6623</v>
      </c>
      <c r="K229" s="187">
        <v>14.3377</v>
      </c>
      <c r="L229" s="187">
        <v>18.942599999999999</v>
      </c>
      <c r="M229" s="187">
        <v>23.1266</v>
      </c>
      <c r="N229" s="188">
        <v>25.74</v>
      </c>
      <c r="O229" s="189">
        <v>16.502099999999999</v>
      </c>
    </row>
    <row r="230" spans="1:15" ht="15" x14ac:dyDescent="0.25">
      <c r="A230" s="40">
        <f t="shared" si="44"/>
        <v>910</v>
      </c>
      <c r="B230" s="108">
        <v>10</v>
      </c>
      <c r="C230" s="186">
        <v>25.9</v>
      </c>
      <c r="D230" s="187">
        <v>21.7151</v>
      </c>
      <c r="E230" s="187">
        <v>18.389399999999998</v>
      </c>
      <c r="F230" s="187">
        <v>14.3851</v>
      </c>
      <c r="G230" s="187">
        <v>10.262</v>
      </c>
      <c r="H230" s="187">
        <v>8.8095999999999997</v>
      </c>
      <c r="I230" s="187">
        <v>9.3007000000000009</v>
      </c>
      <c r="J230" s="187">
        <v>11.2471</v>
      </c>
      <c r="K230" s="187">
        <v>14.856400000000001</v>
      </c>
      <c r="L230" s="187">
        <v>19.271100000000001</v>
      </c>
      <c r="M230" s="187">
        <v>23.1678</v>
      </c>
      <c r="N230" s="188">
        <v>25.589700000000001</v>
      </c>
      <c r="O230" s="189">
        <v>16.885899999999999</v>
      </c>
    </row>
    <row r="231" spans="1:15" ht="15" x14ac:dyDescent="0.25">
      <c r="A231" s="40">
        <f t="shared" si="44"/>
        <v>915</v>
      </c>
      <c r="B231" s="108">
        <v>15</v>
      </c>
      <c r="C231" s="186">
        <v>25.662199999999999</v>
      </c>
      <c r="D231" s="187">
        <v>21.794899999999998</v>
      </c>
      <c r="E231" s="187">
        <v>18.7925</v>
      </c>
      <c r="F231" s="187">
        <v>15.011900000000001</v>
      </c>
      <c r="G231" s="187">
        <v>10.834899999999999</v>
      </c>
      <c r="H231" s="187">
        <v>9.4122000000000003</v>
      </c>
      <c r="I231" s="187">
        <v>9.8926999999999996</v>
      </c>
      <c r="J231" s="187">
        <v>11.768700000000001</v>
      </c>
      <c r="K231" s="187">
        <v>15.2895</v>
      </c>
      <c r="L231" s="187">
        <v>19.486000000000001</v>
      </c>
      <c r="M231" s="187">
        <v>23.070599999999999</v>
      </c>
      <c r="N231" s="188">
        <v>25.284800000000001</v>
      </c>
      <c r="O231" s="189">
        <v>17.170300000000001</v>
      </c>
    </row>
    <row r="232" spans="1:15" ht="15" x14ac:dyDescent="0.25">
      <c r="A232" s="40">
        <f t="shared" si="44"/>
        <v>920</v>
      </c>
      <c r="B232" s="108">
        <v>20</v>
      </c>
      <c r="C232" s="186">
        <v>25.2685</v>
      </c>
      <c r="D232" s="187">
        <v>21.7469</v>
      </c>
      <c r="E232" s="187">
        <v>19.084599999999998</v>
      </c>
      <c r="F232" s="187">
        <v>15.5495</v>
      </c>
      <c r="G232" s="187">
        <v>11.345599999999999</v>
      </c>
      <c r="H232" s="187">
        <v>9.9603000000000002</v>
      </c>
      <c r="I232" s="187">
        <v>10.4275</v>
      </c>
      <c r="J232" s="187">
        <v>12.223100000000001</v>
      </c>
      <c r="K232" s="187">
        <v>15.633800000000001</v>
      </c>
      <c r="L232" s="187">
        <v>19.585699999999999</v>
      </c>
      <c r="M232" s="187">
        <v>22.835899999999999</v>
      </c>
      <c r="N232" s="188">
        <v>24.8276</v>
      </c>
      <c r="O232" s="189">
        <v>17.353200000000001</v>
      </c>
    </row>
    <row r="233" spans="1:15" ht="15" x14ac:dyDescent="0.25">
      <c r="A233" s="40">
        <f t="shared" si="44"/>
        <v>925</v>
      </c>
      <c r="B233" s="108">
        <v>25</v>
      </c>
      <c r="C233" s="190">
        <v>24.722200000000001</v>
      </c>
      <c r="D233" s="191">
        <v>21.571400000000001</v>
      </c>
      <c r="E233" s="191">
        <v>19.2636</v>
      </c>
      <c r="F233" s="191">
        <v>15.993600000000001</v>
      </c>
      <c r="G233" s="191">
        <v>11.7905</v>
      </c>
      <c r="H233" s="191">
        <v>10.4495</v>
      </c>
      <c r="I233" s="191">
        <v>10.9008</v>
      </c>
      <c r="J233" s="191">
        <v>12.6067</v>
      </c>
      <c r="K233" s="191">
        <v>15.8865</v>
      </c>
      <c r="L233" s="191">
        <v>19.569400000000002</v>
      </c>
      <c r="M233" s="191">
        <v>22.465399999999999</v>
      </c>
      <c r="N233" s="192">
        <v>24.227799999999998</v>
      </c>
      <c r="O233" s="193">
        <v>17.433900000000001</v>
      </c>
    </row>
    <row r="234" spans="1:15" ht="15" x14ac:dyDescent="0.25">
      <c r="A234" s="40">
        <f t="shared" si="44"/>
        <v>930</v>
      </c>
      <c r="B234" s="108">
        <v>30</v>
      </c>
      <c r="C234" s="186">
        <v>24.045300000000001</v>
      </c>
      <c r="D234" s="187">
        <v>21.269600000000001</v>
      </c>
      <c r="E234" s="187">
        <v>19.327999999999999</v>
      </c>
      <c r="F234" s="187">
        <v>16.341100000000001</v>
      </c>
      <c r="G234" s="187">
        <v>12.166</v>
      </c>
      <c r="H234" s="187">
        <v>10.876300000000001</v>
      </c>
      <c r="I234" s="187">
        <v>11.309200000000001</v>
      </c>
      <c r="J234" s="187">
        <v>12.9168</v>
      </c>
      <c r="K234" s="187">
        <v>16.0457</v>
      </c>
      <c r="L234" s="187">
        <v>19.4374</v>
      </c>
      <c r="M234" s="187">
        <v>21.9619</v>
      </c>
      <c r="N234" s="188">
        <v>23.492699999999999</v>
      </c>
      <c r="O234" s="189">
        <v>17.4133</v>
      </c>
    </row>
    <row r="235" spans="1:15" ht="15" x14ac:dyDescent="0.25">
      <c r="A235" s="40">
        <f t="shared" si="44"/>
        <v>935</v>
      </c>
      <c r="B235" s="108">
        <v>35</v>
      </c>
      <c r="C235" s="186">
        <v>23.236699999999999</v>
      </c>
      <c r="D235" s="187">
        <v>20.844000000000001</v>
      </c>
      <c r="E235" s="187">
        <v>19.2775</v>
      </c>
      <c r="F235" s="187">
        <v>16.589099999999998</v>
      </c>
      <c r="G235" s="187">
        <v>12.4693</v>
      </c>
      <c r="H235" s="187">
        <v>11.2372</v>
      </c>
      <c r="I235" s="187">
        <v>11.6495</v>
      </c>
      <c r="J235" s="187">
        <v>13.1509</v>
      </c>
      <c r="K235" s="187">
        <v>16.110299999999999</v>
      </c>
      <c r="L235" s="187">
        <v>19.1905</v>
      </c>
      <c r="M235" s="187">
        <v>21.3293</v>
      </c>
      <c r="N235" s="188">
        <v>22.6189</v>
      </c>
      <c r="O235" s="189">
        <v>17.290400000000002</v>
      </c>
    </row>
    <row r="236" spans="1:15" ht="15" x14ac:dyDescent="0.25">
      <c r="A236" s="40">
        <f t="shared" si="44"/>
        <v>940</v>
      </c>
      <c r="B236" s="108">
        <v>40</v>
      </c>
      <c r="C236" s="186">
        <v>22.290700000000001</v>
      </c>
      <c r="D236" s="187">
        <v>20.297799999999999</v>
      </c>
      <c r="E236" s="187">
        <v>19.112300000000001</v>
      </c>
      <c r="F236" s="187">
        <v>16.735900000000001</v>
      </c>
      <c r="G236" s="187">
        <v>12.6982</v>
      </c>
      <c r="H236" s="187">
        <v>11.5297</v>
      </c>
      <c r="I236" s="187">
        <v>11.9191</v>
      </c>
      <c r="J236" s="187">
        <v>13.3073</v>
      </c>
      <c r="K236" s="187">
        <v>16.079799999999999</v>
      </c>
      <c r="L236" s="187">
        <v>18.8306</v>
      </c>
      <c r="M236" s="187">
        <v>20.572399999999998</v>
      </c>
      <c r="N236" s="188">
        <v>21.613199999999999</v>
      </c>
      <c r="O236" s="189">
        <v>17.065200000000001</v>
      </c>
    </row>
    <row r="237" spans="1:15" ht="15" x14ac:dyDescent="0.25">
      <c r="A237" s="40">
        <f t="shared" si="44"/>
        <v>945</v>
      </c>
      <c r="B237" s="108">
        <v>45</v>
      </c>
      <c r="C237" s="186">
        <v>21.235299999999999</v>
      </c>
      <c r="D237" s="187">
        <v>19.646100000000001</v>
      </c>
      <c r="E237" s="187">
        <v>18.8337</v>
      </c>
      <c r="F237" s="187">
        <v>16.780200000000001</v>
      </c>
      <c r="G237" s="187">
        <v>12.850899999999999</v>
      </c>
      <c r="H237" s="187">
        <v>11.7514</v>
      </c>
      <c r="I237" s="187">
        <v>12.1144</v>
      </c>
      <c r="J237" s="187">
        <v>13.3848</v>
      </c>
      <c r="K237" s="187">
        <v>15.9543</v>
      </c>
      <c r="L237" s="187">
        <v>18.360600000000002</v>
      </c>
      <c r="M237" s="187">
        <v>19.696899999999999</v>
      </c>
      <c r="N237" s="188">
        <v>20.4831</v>
      </c>
      <c r="O237" s="189">
        <v>16.741700000000002</v>
      </c>
    </row>
    <row r="238" spans="1:15" ht="15" x14ac:dyDescent="0.25">
      <c r="A238" s="40">
        <f t="shared" si="44"/>
        <v>950</v>
      </c>
      <c r="B238" s="108">
        <v>50</v>
      </c>
      <c r="C238" s="186">
        <v>20.076699999999999</v>
      </c>
      <c r="D238" s="187">
        <v>18.8842</v>
      </c>
      <c r="E238" s="187">
        <v>18.4438</v>
      </c>
      <c r="F238" s="187">
        <v>16.721800000000002</v>
      </c>
      <c r="G238" s="187">
        <v>12.9261</v>
      </c>
      <c r="H238" s="187">
        <v>11.8995</v>
      </c>
      <c r="I238" s="187">
        <v>12.233000000000001</v>
      </c>
      <c r="J238" s="187">
        <v>13.3827</v>
      </c>
      <c r="K238" s="187">
        <v>15.7349</v>
      </c>
      <c r="L238" s="187">
        <v>17.783999999999999</v>
      </c>
      <c r="M238" s="187">
        <v>18.709499999999998</v>
      </c>
      <c r="N238" s="188">
        <v>19.254200000000001</v>
      </c>
      <c r="O238" s="189">
        <v>16.322900000000001</v>
      </c>
    </row>
    <row r="239" spans="1:15" ht="15" x14ac:dyDescent="0.25">
      <c r="A239" s="40">
        <f t="shared" si="44"/>
        <v>955</v>
      </c>
      <c r="B239" s="108">
        <v>55</v>
      </c>
      <c r="C239" s="186">
        <v>18.8048</v>
      </c>
      <c r="D239" s="187">
        <v>18.0167</v>
      </c>
      <c r="E239" s="187">
        <v>17.945699999999999</v>
      </c>
      <c r="F239" s="187">
        <v>16.5611</v>
      </c>
      <c r="G239" s="187">
        <v>12.922499999999999</v>
      </c>
      <c r="H239" s="187">
        <v>11.9664</v>
      </c>
      <c r="I239" s="187">
        <v>12.273199999999999</v>
      </c>
      <c r="J239" s="187">
        <v>13.3011</v>
      </c>
      <c r="K239" s="187">
        <v>15.4232</v>
      </c>
      <c r="L239" s="187">
        <v>17.1051</v>
      </c>
      <c r="M239" s="187">
        <v>17.634799999999998</v>
      </c>
      <c r="N239" s="188">
        <v>17.954699999999999</v>
      </c>
      <c r="O239" s="189">
        <v>15.8125</v>
      </c>
    </row>
    <row r="240" spans="1:15" ht="15" x14ac:dyDescent="0.25">
      <c r="A240" s="40">
        <f t="shared" si="44"/>
        <v>960</v>
      </c>
      <c r="B240" s="108">
        <v>60</v>
      </c>
      <c r="C240" s="186">
        <v>17.431799999999999</v>
      </c>
      <c r="D240" s="187">
        <v>17.05</v>
      </c>
      <c r="E240" s="187">
        <v>17.3431</v>
      </c>
      <c r="F240" s="187">
        <v>16.299299999999999</v>
      </c>
      <c r="G240" s="187">
        <v>12.8406</v>
      </c>
      <c r="H240" s="187">
        <v>11.9594</v>
      </c>
      <c r="I240" s="187">
        <v>12.237500000000001</v>
      </c>
      <c r="J240" s="187">
        <v>13.140599999999999</v>
      </c>
      <c r="K240" s="187">
        <v>15.021599999999999</v>
      </c>
      <c r="L240" s="187">
        <v>16.330100000000002</v>
      </c>
      <c r="M240" s="187">
        <v>16.497499999999999</v>
      </c>
      <c r="N240" s="188">
        <v>16.605</v>
      </c>
      <c r="O240" s="189">
        <v>15.2179</v>
      </c>
    </row>
    <row r="241" spans="1:16" ht="15" x14ac:dyDescent="0.25">
      <c r="A241" s="40">
        <f t="shared" si="44"/>
        <v>965</v>
      </c>
      <c r="B241" s="108">
        <v>65</v>
      </c>
      <c r="C241" s="186">
        <v>15.9877</v>
      </c>
      <c r="D241" s="187">
        <v>15.9916</v>
      </c>
      <c r="E241" s="187">
        <v>16.640499999999999</v>
      </c>
      <c r="F241" s="187">
        <v>15.938499999999999</v>
      </c>
      <c r="G241" s="187">
        <v>12.6815</v>
      </c>
      <c r="H241" s="187">
        <v>11.880599999999999</v>
      </c>
      <c r="I241" s="187">
        <v>12.1286</v>
      </c>
      <c r="J241" s="187">
        <v>12.902200000000001</v>
      </c>
      <c r="K241" s="187">
        <v>14.533200000000001</v>
      </c>
      <c r="L241" s="187">
        <v>15.468</v>
      </c>
      <c r="M241" s="187">
        <v>15.2875</v>
      </c>
      <c r="N241" s="188">
        <v>15.175599999999999</v>
      </c>
      <c r="O241" s="189">
        <v>14.541</v>
      </c>
    </row>
    <row r="242" spans="1:16" ht="15" x14ac:dyDescent="0.25">
      <c r="A242" s="40">
        <f t="shared" si="44"/>
        <v>970</v>
      </c>
      <c r="B242" s="108">
        <v>70</v>
      </c>
      <c r="C242" s="186">
        <v>14.4846</v>
      </c>
      <c r="D242" s="187">
        <v>14.849399999999999</v>
      </c>
      <c r="E242" s="187">
        <v>15.843400000000001</v>
      </c>
      <c r="F242" s="187">
        <v>15.481299999999999</v>
      </c>
      <c r="G242" s="187">
        <v>12.446999999999999</v>
      </c>
      <c r="H242" s="187">
        <v>11.7315</v>
      </c>
      <c r="I242" s="187">
        <v>11.9481</v>
      </c>
      <c r="J242" s="187">
        <v>12.588100000000001</v>
      </c>
      <c r="K242" s="187">
        <v>13.961499999999999</v>
      </c>
      <c r="L242" s="187">
        <v>14.524699999999999</v>
      </c>
      <c r="M242" s="187">
        <v>14.007199999999999</v>
      </c>
      <c r="N242" s="188">
        <v>13.6709</v>
      </c>
      <c r="O242" s="189">
        <v>13.786099999999999</v>
      </c>
    </row>
    <row r="243" spans="1:16" ht="15" x14ac:dyDescent="0.25">
      <c r="A243" s="40">
        <f t="shared" si="44"/>
        <v>975</v>
      </c>
      <c r="B243" s="108">
        <v>75</v>
      </c>
      <c r="C243" s="186">
        <v>12.9465</v>
      </c>
      <c r="D243" s="187">
        <v>13.638</v>
      </c>
      <c r="E243" s="187">
        <v>14.957800000000001</v>
      </c>
      <c r="F243" s="187">
        <v>14.9313</v>
      </c>
      <c r="G243" s="187">
        <v>12.1387</v>
      </c>
      <c r="H243" s="187">
        <v>11.513500000000001</v>
      </c>
      <c r="I243" s="187">
        <v>11.6975</v>
      </c>
      <c r="J243" s="187">
        <v>12.200799999999999</v>
      </c>
      <c r="K243" s="187">
        <v>13.3111</v>
      </c>
      <c r="L243" s="187">
        <v>13.510199999999999</v>
      </c>
      <c r="M243" s="187">
        <v>12.6591</v>
      </c>
      <c r="N243" s="188">
        <v>12.116300000000001</v>
      </c>
      <c r="O243" s="189">
        <v>12.961399999999999</v>
      </c>
    </row>
    <row r="244" spans="1:16" ht="15" x14ac:dyDescent="0.25">
      <c r="A244" s="40">
        <f t="shared" si="44"/>
        <v>980</v>
      </c>
      <c r="B244" s="108">
        <v>80</v>
      </c>
      <c r="C244" s="186">
        <v>11.4018</v>
      </c>
      <c r="D244" s="187">
        <v>12.375999999999999</v>
      </c>
      <c r="E244" s="187">
        <v>13.990399999999999</v>
      </c>
      <c r="F244" s="187">
        <v>14.2926</v>
      </c>
      <c r="G244" s="187">
        <v>11.7591</v>
      </c>
      <c r="H244" s="187">
        <v>11.2281</v>
      </c>
      <c r="I244" s="187">
        <v>11.378500000000001</v>
      </c>
      <c r="J244" s="187">
        <v>11.743</v>
      </c>
      <c r="K244" s="187">
        <v>12.5869</v>
      </c>
      <c r="L244" s="187">
        <v>12.4316</v>
      </c>
      <c r="M244" s="187">
        <v>11.2583</v>
      </c>
      <c r="N244" s="188">
        <v>10.599399999999999</v>
      </c>
      <c r="O244" s="189">
        <v>12.082000000000001</v>
      </c>
    </row>
    <row r="245" spans="1:16" ht="15" x14ac:dyDescent="0.25">
      <c r="A245" s="40">
        <f t="shared" si="44"/>
        <v>985</v>
      </c>
      <c r="B245" s="109">
        <v>85</v>
      </c>
      <c r="C245" s="194">
        <v>9.8420000000000005</v>
      </c>
      <c r="D245" s="195">
        <v>11.083600000000001</v>
      </c>
      <c r="E245" s="195">
        <v>12.948600000000001</v>
      </c>
      <c r="F245" s="195">
        <v>13.5701</v>
      </c>
      <c r="G245" s="195">
        <v>11.310700000000001</v>
      </c>
      <c r="H245" s="195">
        <v>10.876899999999999</v>
      </c>
      <c r="I245" s="195">
        <v>10.9933</v>
      </c>
      <c r="J245" s="195">
        <v>11.218299999999999</v>
      </c>
      <c r="K245" s="195">
        <v>11.7943</v>
      </c>
      <c r="L245" s="195">
        <v>11.294600000000001</v>
      </c>
      <c r="M245" s="195">
        <v>9.8735999999999997</v>
      </c>
      <c r="N245" s="196">
        <v>9.1203000000000003</v>
      </c>
      <c r="O245" s="197">
        <v>11.1571</v>
      </c>
    </row>
    <row r="246" spans="1:16" x14ac:dyDescent="0.2">
      <c r="A246" s="40">
        <f t="shared" si="44"/>
        <v>990</v>
      </c>
      <c r="B246" s="40">
        <v>90</v>
      </c>
    </row>
    <row r="247" spans="1:16" x14ac:dyDescent="0.2">
      <c r="A247" s="40">
        <f t="shared" si="44"/>
        <v>991</v>
      </c>
      <c r="B247" s="40">
        <v>91</v>
      </c>
      <c r="C247" s="111">
        <f>T10</f>
        <v>22.2</v>
      </c>
      <c r="D247" s="111">
        <f t="shared" ref="D247:O247" si="45">U10</f>
        <v>21.9</v>
      </c>
      <c r="E247" s="111">
        <f t="shared" si="45"/>
        <v>20.2</v>
      </c>
      <c r="F247" s="111">
        <f t="shared" si="45"/>
        <v>16.899999999999999</v>
      </c>
      <c r="G247" s="111">
        <f t="shared" si="45"/>
        <v>13.8</v>
      </c>
      <c r="H247" s="111">
        <f t="shared" si="45"/>
        <v>11.05</v>
      </c>
      <c r="I247" s="111">
        <f t="shared" si="45"/>
        <v>10.8</v>
      </c>
      <c r="J247" s="111">
        <f t="shared" si="45"/>
        <v>11.45</v>
      </c>
      <c r="K247" s="111">
        <f t="shared" si="45"/>
        <v>12.95</v>
      </c>
      <c r="L247" s="111">
        <f t="shared" si="45"/>
        <v>15.399999999999999</v>
      </c>
      <c r="M247" s="111">
        <f t="shared" si="45"/>
        <v>17.950000000000003</v>
      </c>
      <c r="N247" s="111">
        <f t="shared" si="45"/>
        <v>20.65</v>
      </c>
      <c r="O247" s="111">
        <f t="shared" si="45"/>
        <v>16.25</v>
      </c>
      <c r="P247" s="344" t="s">
        <v>685</v>
      </c>
    </row>
    <row r="248" spans="1:16" x14ac:dyDescent="0.2">
      <c r="A248" s="40">
        <f t="shared" si="44"/>
        <v>992</v>
      </c>
      <c r="B248" s="40">
        <v>92</v>
      </c>
      <c r="C248" s="343">
        <f>T34</f>
        <v>28.4</v>
      </c>
      <c r="D248" s="343">
        <f t="shared" ref="D248:O248" si="46">U34</f>
        <v>28.5</v>
      </c>
      <c r="E248" s="343">
        <f t="shared" si="46"/>
        <v>26.1</v>
      </c>
      <c r="F248" s="343">
        <f t="shared" si="46"/>
        <v>21.7</v>
      </c>
      <c r="G248" s="343">
        <f t="shared" si="46"/>
        <v>16.600000000000001</v>
      </c>
      <c r="H248" s="343">
        <f t="shared" si="46"/>
        <v>12</v>
      </c>
      <c r="I248" s="343">
        <f t="shared" si="46"/>
        <v>9.3000000000000007</v>
      </c>
      <c r="J248" s="343">
        <f t="shared" si="46"/>
        <v>9.1999999999999993</v>
      </c>
      <c r="K248" s="343">
        <f t="shared" si="46"/>
        <v>11.7</v>
      </c>
      <c r="L248" s="343">
        <f t="shared" si="46"/>
        <v>16.100000000000001</v>
      </c>
      <c r="M248" s="343">
        <f t="shared" si="46"/>
        <v>21.3</v>
      </c>
      <c r="N248" s="343">
        <f t="shared" si="46"/>
        <v>25.8</v>
      </c>
      <c r="O248" s="343">
        <f t="shared" si="46"/>
        <v>0</v>
      </c>
    </row>
    <row r="250" spans="1:16" ht="15" x14ac:dyDescent="0.25">
      <c r="B250" s="199" t="s">
        <v>645</v>
      </c>
      <c r="C250" s="198"/>
      <c r="D250" s="198"/>
      <c r="E250" s="198"/>
      <c r="F250" s="198"/>
      <c r="G250" s="957" t="s">
        <v>613</v>
      </c>
      <c r="H250" s="957"/>
      <c r="I250" s="957"/>
      <c r="J250" s="957"/>
      <c r="K250" s="957"/>
      <c r="L250" s="957"/>
      <c r="M250" s="957"/>
      <c r="N250" s="957"/>
      <c r="O250" s="148">
        <v>10</v>
      </c>
    </row>
    <row r="251" spans="1:16" ht="14.25" x14ac:dyDescent="0.2">
      <c r="B251" s="198" t="s">
        <v>614</v>
      </c>
      <c r="C251" s="198" t="s">
        <v>646</v>
      </c>
      <c r="D251" s="198" t="s">
        <v>616</v>
      </c>
      <c r="E251" s="198" t="s">
        <v>647</v>
      </c>
      <c r="F251" s="198"/>
      <c r="G251" s="958" t="s">
        <v>618</v>
      </c>
      <c r="H251" s="958"/>
      <c r="I251" s="958"/>
      <c r="J251" s="958"/>
      <c r="K251" s="958"/>
      <c r="L251" s="958"/>
      <c r="M251" s="958"/>
      <c r="N251" s="958"/>
      <c r="O251" s="958"/>
    </row>
    <row r="252" spans="1:16" ht="15" x14ac:dyDescent="0.25">
      <c r="B252" s="200" t="s">
        <v>619</v>
      </c>
      <c r="C252" s="91" t="s">
        <v>4</v>
      </c>
      <c r="D252" s="91" t="s">
        <v>5</v>
      </c>
      <c r="E252" s="91" t="s">
        <v>6</v>
      </c>
      <c r="F252" s="91" t="s">
        <v>7</v>
      </c>
      <c r="G252" s="91" t="s">
        <v>8</v>
      </c>
      <c r="H252" s="91" t="s">
        <v>9</v>
      </c>
      <c r="I252" s="91" t="s">
        <v>10</v>
      </c>
      <c r="J252" s="91" t="s">
        <v>11</v>
      </c>
      <c r="K252" s="91" t="s">
        <v>12</v>
      </c>
      <c r="L252" s="91" t="s">
        <v>13</v>
      </c>
      <c r="M252" s="91" t="s">
        <v>14</v>
      </c>
      <c r="N252" s="91" t="s">
        <v>15</v>
      </c>
      <c r="O252" s="201" t="s">
        <v>620</v>
      </c>
    </row>
    <row r="253" spans="1:16" ht="15" x14ac:dyDescent="0.25">
      <c r="A253" s="40">
        <f>O$250*100+B253</f>
        <v>1000</v>
      </c>
      <c r="B253" s="108">
        <v>0</v>
      </c>
      <c r="C253" s="202">
        <v>26.5702</v>
      </c>
      <c r="D253" s="203">
        <v>21.698</v>
      </c>
      <c r="E253" s="203">
        <v>17.6433</v>
      </c>
      <c r="F253" s="203">
        <v>13.0663</v>
      </c>
      <c r="G253" s="203">
        <v>9.0170999999999992</v>
      </c>
      <c r="H253" s="203">
        <v>7.4753999999999996</v>
      </c>
      <c r="I253" s="203">
        <v>7.9442000000000004</v>
      </c>
      <c r="J253" s="203">
        <v>10.0344</v>
      </c>
      <c r="K253" s="203">
        <v>13.8873</v>
      </c>
      <c r="L253" s="203">
        <v>18.5822</v>
      </c>
      <c r="M253" s="203">
        <v>23.214099999999998</v>
      </c>
      <c r="N253" s="204">
        <v>26.043099999999999</v>
      </c>
      <c r="O253" s="205">
        <v>16.240300000000001</v>
      </c>
    </row>
    <row r="254" spans="1:16" ht="15" x14ac:dyDescent="0.25">
      <c r="A254" s="40">
        <f t="shared" ref="A254:A273" si="47">O$250*100+B254</f>
        <v>1005</v>
      </c>
      <c r="B254" s="108">
        <v>5</v>
      </c>
      <c r="C254" s="202">
        <v>26.648599999999998</v>
      </c>
      <c r="D254" s="203">
        <v>22.053699999999999</v>
      </c>
      <c r="E254" s="203">
        <v>18.292300000000001</v>
      </c>
      <c r="F254" s="203">
        <v>13.8813</v>
      </c>
      <c r="G254" s="203">
        <v>9.7279999999999998</v>
      </c>
      <c r="H254" s="203">
        <v>8.1747999999999994</v>
      </c>
      <c r="I254" s="203">
        <v>8.6607000000000003</v>
      </c>
      <c r="J254" s="203">
        <v>10.6922</v>
      </c>
      <c r="K254" s="203">
        <v>14.5016</v>
      </c>
      <c r="L254" s="203">
        <v>19.027899999999999</v>
      </c>
      <c r="M254" s="203">
        <v>23.4025</v>
      </c>
      <c r="N254" s="204">
        <v>26.041799999999999</v>
      </c>
      <c r="O254" s="205">
        <v>16.7346</v>
      </c>
    </row>
    <row r="255" spans="1:16" ht="15" x14ac:dyDescent="0.25">
      <c r="A255" s="40">
        <f t="shared" si="47"/>
        <v>1010</v>
      </c>
      <c r="B255" s="108">
        <v>10</v>
      </c>
      <c r="C255" s="202">
        <v>26.562200000000001</v>
      </c>
      <c r="D255" s="203">
        <v>22.278700000000001</v>
      </c>
      <c r="E255" s="203">
        <v>18.833500000000001</v>
      </c>
      <c r="F255" s="203">
        <v>14.6153</v>
      </c>
      <c r="G255" s="203">
        <v>10.3849</v>
      </c>
      <c r="H255" s="203">
        <v>8.8290000000000006</v>
      </c>
      <c r="I255" s="203">
        <v>9.3286999999999995</v>
      </c>
      <c r="J255" s="203">
        <v>11.2906</v>
      </c>
      <c r="K255" s="203">
        <v>15.0329</v>
      </c>
      <c r="L255" s="203">
        <v>19.361799999999999</v>
      </c>
      <c r="M255" s="203">
        <v>23.450700000000001</v>
      </c>
      <c r="N255" s="204">
        <v>25.882100000000001</v>
      </c>
      <c r="O255" s="205">
        <v>17.130400000000002</v>
      </c>
    </row>
    <row r="256" spans="1:16" ht="15" x14ac:dyDescent="0.25">
      <c r="A256" s="40">
        <f t="shared" si="47"/>
        <v>1015</v>
      </c>
      <c r="B256" s="108">
        <v>15</v>
      </c>
      <c r="C256" s="202">
        <v>26.311699999999998</v>
      </c>
      <c r="D256" s="203">
        <v>22.371099999999998</v>
      </c>
      <c r="E256" s="203">
        <v>19.262599999999999</v>
      </c>
      <c r="F256" s="203">
        <v>15.2629</v>
      </c>
      <c r="G256" s="203">
        <v>10.982900000000001</v>
      </c>
      <c r="H256" s="203">
        <v>9.4331999999999994</v>
      </c>
      <c r="I256" s="203">
        <v>9.9433000000000007</v>
      </c>
      <c r="J256" s="203">
        <v>11.825100000000001</v>
      </c>
      <c r="K256" s="203">
        <v>15.477399999999999</v>
      </c>
      <c r="L256" s="203">
        <v>19.581399999999999</v>
      </c>
      <c r="M256" s="203">
        <v>23.3583</v>
      </c>
      <c r="N256" s="204">
        <v>25.565100000000001</v>
      </c>
      <c r="O256" s="205">
        <v>17.424600000000002</v>
      </c>
    </row>
    <row r="257" spans="1:16" ht="15" x14ac:dyDescent="0.25">
      <c r="A257" s="40">
        <f t="shared" si="47"/>
        <v>1020</v>
      </c>
      <c r="B257" s="108">
        <v>20</v>
      </c>
      <c r="C257" s="202">
        <v>25.899100000000001</v>
      </c>
      <c r="D257" s="203">
        <v>22.330300000000001</v>
      </c>
      <c r="E257" s="203">
        <v>19.576499999999999</v>
      </c>
      <c r="F257" s="203">
        <v>15.819100000000001</v>
      </c>
      <c r="G257" s="203">
        <v>11.5174</v>
      </c>
      <c r="H257" s="203">
        <v>9.9826999999999995</v>
      </c>
      <c r="I257" s="203">
        <v>10.499599999999999</v>
      </c>
      <c r="J257" s="203">
        <v>12.291600000000001</v>
      </c>
      <c r="K257" s="203">
        <v>15.8315</v>
      </c>
      <c r="L257" s="203">
        <v>19.684799999999999</v>
      </c>
      <c r="M257" s="203">
        <v>23.126000000000001</v>
      </c>
      <c r="N257" s="204">
        <v>25.093299999999999</v>
      </c>
      <c r="O257" s="205">
        <v>17.614899999999999</v>
      </c>
    </row>
    <row r="258" spans="1:16" ht="15" x14ac:dyDescent="0.25">
      <c r="A258" s="40">
        <f t="shared" si="47"/>
        <v>1025</v>
      </c>
      <c r="B258" s="108">
        <v>25</v>
      </c>
      <c r="C258" s="206">
        <v>25.327500000000001</v>
      </c>
      <c r="D258" s="207">
        <v>22.156600000000001</v>
      </c>
      <c r="E258" s="207">
        <v>19.772600000000001</v>
      </c>
      <c r="F258" s="207">
        <v>16.279599999999999</v>
      </c>
      <c r="G258" s="207">
        <v>11.984299999999999</v>
      </c>
      <c r="H258" s="207">
        <v>10.4733</v>
      </c>
      <c r="I258" s="207">
        <v>10.993499999999999</v>
      </c>
      <c r="J258" s="207">
        <v>12.6866</v>
      </c>
      <c r="K258" s="207">
        <v>16.092600000000001</v>
      </c>
      <c r="L258" s="207">
        <v>19.671399999999998</v>
      </c>
      <c r="M258" s="207">
        <v>22.755600000000001</v>
      </c>
      <c r="N258" s="208">
        <v>24.473099999999999</v>
      </c>
      <c r="O258" s="209">
        <v>17.700299999999999</v>
      </c>
    </row>
    <row r="259" spans="1:16" ht="15" x14ac:dyDescent="0.25">
      <c r="A259" s="40">
        <f t="shared" si="47"/>
        <v>1030</v>
      </c>
      <c r="B259" s="108">
        <v>30</v>
      </c>
      <c r="C259" s="202">
        <v>24.604800000000001</v>
      </c>
      <c r="D259" s="203">
        <v>21.851199999999999</v>
      </c>
      <c r="E259" s="203">
        <v>19.849699999999999</v>
      </c>
      <c r="F259" s="203">
        <v>16.640999999999998</v>
      </c>
      <c r="G259" s="203">
        <v>12.3802</v>
      </c>
      <c r="H259" s="203">
        <v>10.901199999999999</v>
      </c>
      <c r="I259" s="203">
        <v>11.421200000000001</v>
      </c>
      <c r="J259" s="203">
        <v>13.007099999999999</v>
      </c>
      <c r="K259" s="203">
        <v>16.258700000000001</v>
      </c>
      <c r="L259" s="203">
        <v>19.5413</v>
      </c>
      <c r="M259" s="203">
        <v>22.2498</v>
      </c>
      <c r="N259" s="204">
        <v>23.724900000000002</v>
      </c>
      <c r="O259" s="205">
        <v>17.6815</v>
      </c>
    </row>
    <row r="260" spans="1:16" ht="15" x14ac:dyDescent="0.25">
      <c r="A260" s="40">
        <f t="shared" si="47"/>
        <v>1035</v>
      </c>
      <c r="B260" s="108">
        <v>35</v>
      </c>
      <c r="C260" s="202">
        <v>23.758500000000002</v>
      </c>
      <c r="D260" s="203">
        <v>21.418600000000001</v>
      </c>
      <c r="E260" s="203">
        <v>19.806899999999999</v>
      </c>
      <c r="F260" s="203">
        <v>16.900500000000001</v>
      </c>
      <c r="G260" s="203">
        <v>12.7019</v>
      </c>
      <c r="H260" s="203">
        <v>11.263299999999999</v>
      </c>
      <c r="I260" s="203">
        <v>11.779500000000001</v>
      </c>
      <c r="J260" s="203">
        <v>13.2506</v>
      </c>
      <c r="K260" s="203">
        <v>16.328600000000002</v>
      </c>
      <c r="L260" s="203">
        <v>19.295400000000001</v>
      </c>
      <c r="M260" s="203">
        <v>21.6126</v>
      </c>
      <c r="N260" s="204">
        <v>22.838999999999999</v>
      </c>
      <c r="O260" s="205">
        <v>17.5596</v>
      </c>
    </row>
    <row r="261" spans="1:16" ht="15" x14ac:dyDescent="0.25">
      <c r="A261" s="40">
        <f t="shared" si="47"/>
        <v>1040</v>
      </c>
      <c r="B261" s="108">
        <v>40</v>
      </c>
      <c r="C261" s="202">
        <v>22.784800000000001</v>
      </c>
      <c r="D261" s="203">
        <v>20.869499999999999</v>
      </c>
      <c r="E261" s="203">
        <v>19.6448</v>
      </c>
      <c r="F261" s="203">
        <v>17.0562</v>
      </c>
      <c r="G261" s="203">
        <v>12.947100000000001</v>
      </c>
      <c r="H261" s="203">
        <v>11.556800000000001</v>
      </c>
      <c r="I261" s="203">
        <v>12.0648</v>
      </c>
      <c r="J261" s="203">
        <v>13.4152</v>
      </c>
      <c r="K261" s="203">
        <v>16.301600000000001</v>
      </c>
      <c r="L261" s="203">
        <v>18.935600000000001</v>
      </c>
      <c r="M261" s="203">
        <v>20.848800000000001</v>
      </c>
      <c r="N261" s="204">
        <v>21.818999999999999</v>
      </c>
      <c r="O261" s="205">
        <v>17.334800000000001</v>
      </c>
    </row>
    <row r="262" spans="1:16" ht="15" x14ac:dyDescent="0.25">
      <c r="A262" s="40">
        <f t="shared" si="47"/>
        <v>1045</v>
      </c>
      <c r="B262" s="108">
        <v>45</v>
      </c>
      <c r="C262" s="202">
        <v>21.7043</v>
      </c>
      <c r="D262" s="203">
        <v>20.200600000000001</v>
      </c>
      <c r="E262" s="203">
        <v>19.3644</v>
      </c>
      <c r="F262" s="203">
        <v>17.1068</v>
      </c>
      <c r="G262" s="203">
        <v>13.113799999999999</v>
      </c>
      <c r="H262" s="203">
        <v>11.7766</v>
      </c>
      <c r="I262" s="203">
        <v>12.272399999999999</v>
      </c>
      <c r="J262" s="203">
        <v>13.4998</v>
      </c>
      <c r="K262" s="203">
        <v>16.178100000000001</v>
      </c>
      <c r="L262" s="203">
        <v>18.464700000000001</v>
      </c>
      <c r="M262" s="203">
        <v>19.964099999999998</v>
      </c>
      <c r="N262" s="204">
        <v>20.677800000000001</v>
      </c>
      <c r="O262" s="205">
        <v>17.0093</v>
      </c>
    </row>
    <row r="263" spans="1:16" ht="15" x14ac:dyDescent="0.25">
      <c r="A263" s="40">
        <f t="shared" si="47"/>
        <v>1050</v>
      </c>
      <c r="B263" s="108">
        <v>50</v>
      </c>
      <c r="C263" s="202">
        <v>20.4999</v>
      </c>
      <c r="D263" s="203">
        <v>19.414999999999999</v>
      </c>
      <c r="E263" s="203">
        <v>18.968</v>
      </c>
      <c r="F263" s="203">
        <v>17.0519</v>
      </c>
      <c r="G263" s="203">
        <v>13.2004</v>
      </c>
      <c r="H263" s="203">
        <v>11.9145</v>
      </c>
      <c r="I263" s="203">
        <v>12.3977</v>
      </c>
      <c r="J263" s="203">
        <v>13.5037</v>
      </c>
      <c r="K263" s="203">
        <v>15.9589</v>
      </c>
      <c r="L263" s="203">
        <v>17.886199999999999</v>
      </c>
      <c r="M263" s="203">
        <v>18.965399999999999</v>
      </c>
      <c r="N263" s="204">
        <v>19.444700000000001</v>
      </c>
      <c r="O263" s="205">
        <v>16.584299999999999</v>
      </c>
    </row>
    <row r="264" spans="1:16" ht="15" x14ac:dyDescent="0.25">
      <c r="A264" s="40">
        <f t="shared" si="47"/>
        <v>1055</v>
      </c>
      <c r="B264" s="108">
        <v>55</v>
      </c>
      <c r="C264" s="202">
        <v>19.177600000000002</v>
      </c>
      <c r="D264" s="203">
        <v>18.518699999999999</v>
      </c>
      <c r="E264" s="203">
        <v>18.458600000000001</v>
      </c>
      <c r="F264" s="203">
        <v>16.892099999999999</v>
      </c>
      <c r="G264" s="203">
        <v>13.2058</v>
      </c>
      <c r="H264" s="203">
        <v>11.9781</v>
      </c>
      <c r="I264" s="203">
        <v>12.4438</v>
      </c>
      <c r="J264" s="203">
        <v>13.4269</v>
      </c>
      <c r="K264" s="203">
        <v>15.645799999999999</v>
      </c>
      <c r="L264" s="203">
        <v>17.204499999999999</v>
      </c>
      <c r="M264" s="203">
        <v>17.866900000000001</v>
      </c>
      <c r="N264" s="204">
        <v>18.119499999999999</v>
      </c>
      <c r="O264" s="205">
        <v>16.063400000000001</v>
      </c>
    </row>
    <row r="265" spans="1:16" ht="15" x14ac:dyDescent="0.25">
      <c r="A265" s="40">
        <f t="shared" si="47"/>
        <v>1060</v>
      </c>
      <c r="B265" s="108">
        <v>60</v>
      </c>
      <c r="C265" s="202">
        <v>17.747299999999999</v>
      </c>
      <c r="D265" s="203">
        <v>17.5185</v>
      </c>
      <c r="E265" s="203">
        <v>17.84</v>
      </c>
      <c r="F265" s="203">
        <v>16.628399999999999</v>
      </c>
      <c r="G265" s="203">
        <v>13.1303</v>
      </c>
      <c r="H265" s="203">
        <v>11.9693</v>
      </c>
      <c r="I265" s="203">
        <v>12.4137</v>
      </c>
      <c r="J265" s="203">
        <v>13.2698</v>
      </c>
      <c r="K265" s="203">
        <v>15.241</v>
      </c>
      <c r="L265" s="203">
        <v>16.424900000000001</v>
      </c>
      <c r="M265" s="203">
        <v>16.715900000000001</v>
      </c>
      <c r="N265" s="204">
        <v>16.729700000000001</v>
      </c>
      <c r="O265" s="205">
        <v>15.4558</v>
      </c>
    </row>
    <row r="266" spans="1:16" ht="15" x14ac:dyDescent="0.25">
      <c r="A266" s="40">
        <f t="shared" si="47"/>
        <v>1065</v>
      </c>
      <c r="B266" s="108">
        <v>65</v>
      </c>
      <c r="C266" s="202">
        <v>16.234400000000001</v>
      </c>
      <c r="D266" s="203">
        <v>16.422000000000001</v>
      </c>
      <c r="E266" s="203">
        <v>17.116900000000001</v>
      </c>
      <c r="F266" s="203">
        <v>16.262899999999998</v>
      </c>
      <c r="G266" s="203">
        <v>12.975300000000001</v>
      </c>
      <c r="H266" s="203">
        <v>11.8893</v>
      </c>
      <c r="I266" s="203">
        <v>12.3094</v>
      </c>
      <c r="J266" s="203">
        <v>13.033899999999999</v>
      </c>
      <c r="K266" s="203">
        <v>14.7478</v>
      </c>
      <c r="L266" s="203">
        <v>15.5547</v>
      </c>
      <c r="M266" s="203">
        <v>15.4962</v>
      </c>
      <c r="N266" s="204">
        <v>15.279400000000001</v>
      </c>
      <c r="O266" s="205">
        <v>14.7653</v>
      </c>
    </row>
    <row r="267" spans="1:16" ht="15" x14ac:dyDescent="0.25">
      <c r="A267" s="40">
        <f t="shared" si="47"/>
        <v>1070</v>
      </c>
      <c r="B267" s="108">
        <v>70</v>
      </c>
      <c r="C267" s="202">
        <v>14.6663</v>
      </c>
      <c r="D267" s="203">
        <v>15.237500000000001</v>
      </c>
      <c r="E267" s="203">
        <v>16.294899999999998</v>
      </c>
      <c r="F267" s="203">
        <v>15.798500000000001</v>
      </c>
      <c r="G267" s="203">
        <v>12.7423</v>
      </c>
      <c r="H267" s="203">
        <v>11.7394</v>
      </c>
      <c r="I267" s="203">
        <v>12.1327</v>
      </c>
      <c r="J267" s="203">
        <v>12.720700000000001</v>
      </c>
      <c r="K267" s="203">
        <v>14.169700000000001</v>
      </c>
      <c r="L267" s="203">
        <v>14.6073</v>
      </c>
      <c r="M267" s="203">
        <v>14.199199999999999</v>
      </c>
      <c r="N267" s="204">
        <v>13.752700000000001</v>
      </c>
      <c r="O267" s="205">
        <v>13.9953</v>
      </c>
    </row>
    <row r="268" spans="1:16" ht="15" x14ac:dyDescent="0.25">
      <c r="A268" s="40">
        <f t="shared" si="47"/>
        <v>1075</v>
      </c>
      <c r="B268" s="108">
        <v>75</v>
      </c>
      <c r="C268" s="202">
        <v>13.0991</v>
      </c>
      <c r="D268" s="203">
        <v>13.975300000000001</v>
      </c>
      <c r="E268" s="203">
        <v>15.3802</v>
      </c>
      <c r="F268" s="203">
        <v>15.2385</v>
      </c>
      <c r="G268" s="203">
        <v>12.433400000000001</v>
      </c>
      <c r="H268" s="203">
        <v>11.521000000000001</v>
      </c>
      <c r="I268" s="203">
        <v>11.8851</v>
      </c>
      <c r="J268" s="203">
        <v>12.332700000000001</v>
      </c>
      <c r="K268" s="203">
        <v>13.5113</v>
      </c>
      <c r="L268" s="203">
        <v>13.589399999999999</v>
      </c>
      <c r="M268" s="203">
        <v>12.832000000000001</v>
      </c>
      <c r="N268" s="204">
        <v>12.193199999999999</v>
      </c>
      <c r="O268" s="205">
        <v>13.158099999999999</v>
      </c>
    </row>
    <row r="269" spans="1:16" ht="15" x14ac:dyDescent="0.25">
      <c r="A269" s="40">
        <f t="shared" si="47"/>
        <v>1080</v>
      </c>
      <c r="B269" s="108">
        <v>80</v>
      </c>
      <c r="C269" s="202">
        <v>11.502700000000001</v>
      </c>
      <c r="D269" s="203">
        <v>12.664899999999999</v>
      </c>
      <c r="E269" s="203">
        <v>14.3797</v>
      </c>
      <c r="F269" s="203">
        <v>14.587400000000001</v>
      </c>
      <c r="G269" s="203">
        <v>12.050700000000001</v>
      </c>
      <c r="H269" s="203">
        <v>11.2354</v>
      </c>
      <c r="I269" s="203">
        <v>11.5684</v>
      </c>
      <c r="J269" s="203">
        <v>11.872999999999999</v>
      </c>
      <c r="K269" s="203">
        <v>12.7776</v>
      </c>
      <c r="L269" s="203">
        <v>12.5052</v>
      </c>
      <c r="M269" s="203">
        <v>11.409000000000001</v>
      </c>
      <c r="N269" s="204">
        <v>10.64</v>
      </c>
      <c r="O269" s="205">
        <v>12.260300000000001</v>
      </c>
    </row>
    <row r="270" spans="1:16" ht="15" x14ac:dyDescent="0.25">
      <c r="A270" s="40">
        <f t="shared" si="47"/>
        <v>1085</v>
      </c>
      <c r="B270" s="109">
        <v>85</v>
      </c>
      <c r="C270" s="210">
        <v>9.8759999999999994</v>
      </c>
      <c r="D270" s="211">
        <v>11.3218</v>
      </c>
      <c r="E270" s="211">
        <v>13.3012</v>
      </c>
      <c r="F270" s="211">
        <v>13.8499</v>
      </c>
      <c r="G270" s="211">
        <v>11.5968</v>
      </c>
      <c r="H270" s="211">
        <v>10.884600000000001</v>
      </c>
      <c r="I270" s="211">
        <v>11.1844</v>
      </c>
      <c r="J270" s="211">
        <v>11.344799999999999</v>
      </c>
      <c r="K270" s="211">
        <v>11.9741</v>
      </c>
      <c r="L270" s="211">
        <v>11.361499999999999</v>
      </c>
      <c r="M270" s="211">
        <v>9.9967000000000006</v>
      </c>
      <c r="N270" s="212">
        <v>9.1439000000000004</v>
      </c>
      <c r="O270" s="213">
        <v>11.3157</v>
      </c>
    </row>
    <row r="271" spans="1:16" x14ac:dyDescent="0.2">
      <c r="A271" s="40">
        <f t="shared" si="47"/>
        <v>1090</v>
      </c>
      <c r="B271" s="40">
        <v>90</v>
      </c>
    </row>
    <row r="272" spans="1:16" x14ac:dyDescent="0.2">
      <c r="A272" s="40">
        <f t="shared" si="47"/>
        <v>1091</v>
      </c>
      <c r="B272" s="40">
        <v>91</v>
      </c>
      <c r="C272" s="111">
        <f>T11</f>
        <v>22.7</v>
      </c>
      <c r="D272" s="111">
        <f t="shared" ref="D272:N272" si="48">U11</f>
        <v>22.3</v>
      </c>
      <c r="E272" s="111">
        <f t="shared" si="48"/>
        <v>20.5</v>
      </c>
      <c r="F272" s="111">
        <f t="shared" si="48"/>
        <v>17.2</v>
      </c>
      <c r="G272" s="111">
        <f t="shared" si="48"/>
        <v>13.9</v>
      </c>
      <c r="H272" s="111">
        <f t="shared" si="48"/>
        <v>11</v>
      </c>
      <c r="I272" s="111">
        <f t="shared" si="48"/>
        <v>10.7</v>
      </c>
      <c r="J272" s="111">
        <f t="shared" si="48"/>
        <v>11.5</v>
      </c>
      <c r="K272" s="111">
        <f t="shared" si="48"/>
        <v>13.2</v>
      </c>
      <c r="L272" s="111">
        <f t="shared" si="48"/>
        <v>15.7</v>
      </c>
      <c r="M272" s="111">
        <f t="shared" si="48"/>
        <v>18.3</v>
      </c>
      <c r="N272" s="111">
        <f t="shared" si="48"/>
        <v>21.1</v>
      </c>
      <c r="O272" s="111">
        <v>16.5</v>
      </c>
      <c r="P272" s="344" t="s">
        <v>684</v>
      </c>
    </row>
    <row r="273" spans="1:15" x14ac:dyDescent="0.2">
      <c r="A273" s="40">
        <f t="shared" si="47"/>
        <v>1092</v>
      </c>
      <c r="B273" s="40">
        <v>92</v>
      </c>
      <c r="C273" s="343">
        <f>T35</f>
        <v>28.4</v>
      </c>
      <c r="D273" s="343">
        <f t="shared" ref="D273:N273" si="49">U35</f>
        <v>28.5</v>
      </c>
      <c r="E273" s="343">
        <f t="shared" si="49"/>
        <v>26.1</v>
      </c>
      <c r="F273" s="343">
        <f t="shared" si="49"/>
        <v>21.7</v>
      </c>
      <c r="G273" s="343">
        <f t="shared" si="49"/>
        <v>16.600000000000001</v>
      </c>
      <c r="H273" s="343">
        <f t="shared" si="49"/>
        <v>12</v>
      </c>
      <c r="I273" s="343">
        <f t="shared" si="49"/>
        <v>9.3000000000000007</v>
      </c>
      <c r="J273" s="343">
        <f t="shared" si="49"/>
        <v>9.1999999999999993</v>
      </c>
      <c r="K273" s="343">
        <f t="shared" si="49"/>
        <v>11.7</v>
      </c>
      <c r="L273" s="343">
        <f t="shared" si="49"/>
        <v>16.100000000000001</v>
      </c>
      <c r="M273" s="343">
        <f t="shared" si="49"/>
        <v>21.3</v>
      </c>
      <c r="N273" s="343">
        <f t="shared" si="49"/>
        <v>25.8</v>
      </c>
    </row>
    <row r="275" spans="1:15" ht="15" x14ac:dyDescent="0.25">
      <c r="B275" s="215" t="s">
        <v>648</v>
      </c>
      <c r="C275" s="214"/>
      <c r="D275" s="214"/>
      <c r="E275" s="214"/>
      <c r="F275" s="214"/>
      <c r="G275" s="957" t="s">
        <v>613</v>
      </c>
      <c r="H275" s="957"/>
      <c r="I275" s="957"/>
      <c r="J275" s="957"/>
      <c r="K275" s="957"/>
      <c r="L275" s="957"/>
      <c r="M275" s="957"/>
      <c r="N275" s="957"/>
      <c r="O275" s="148">
        <v>11</v>
      </c>
    </row>
    <row r="276" spans="1:15" ht="14.25" x14ac:dyDescent="0.2">
      <c r="B276" s="214" t="s">
        <v>614</v>
      </c>
      <c r="C276" s="214" t="s">
        <v>649</v>
      </c>
      <c r="D276" s="214" t="s">
        <v>616</v>
      </c>
      <c r="E276" s="214" t="s">
        <v>650</v>
      </c>
      <c r="F276" s="214"/>
      <c r="G276" s="958" t="s">
        <v>618</v>
      </c>
      <c r="H276" s="958"/>
      <c r="I276" s="958"/>
      <c r="J276" s="958"/>
      <c r="K276" s="958"/>
      <c r="L276" s="958"/>
      <c r="M276" s="958"/>
      <c r="N276" s="958"/>
      <c r="O276" s="958"/>
    </row>
    <row r="277" spans="1:15" ht="15" x14ac:dyDescent="0.25">
      <c r="B277" s="216" t="s">
        <v>619</v>
      </c>
      <c r="C277" s="91" t="s">
        <v>4</v>
      </c>
      <c r="D277" s="91" t="s">
        <v>5</v>
      </c>
      <c r="E277" s="91" t="s">
        <v>6</v>
      </c>
      <c r="F277" s="91" t="s">
        <v>7</v>
      </c>
      <c r="G277" s="91" t="s">
        <v>8</v>
      </c>
      <c r="H277" s="91" t="s">
        <v>9</v>
      </c>
      <c r="I277" s="91" t="s">
        <v>10</v>
      </c>
      <c r="J277" s="91" t="s">
        <v>11</v>
      </c>
      <c r="K277" s="91" t="s">
        <v>12</v>
      </c>
      <c r="L277" s="91" t="s">
        <v>13</v>
      </c>
      <c r="M277" s="91" t="s">
        <v>14</v>
      </c>
      <c r="N277" s="91" t="s">
        <v>15</v>
      </c>
      <c r="O277" s="217" t="s">
        <v>620</v>
      </c>
    </row>
    <row r="278" spans="1:15" ht="15" x14ac:dyDescent="0.25">
      <c r="A278" s="40">
        <f>O$275*100+B278</f>
        <v>1100</v>
      </c>
      <c r="B278" s="108">
        <v>0</v>
      </c>
      <c r="C278" s="218">
        <v>25.8491</v>
      </c>
      <c r="D278" s="219">
        <v>21.765899999999998</v>
      </c>
      <c r="E278" s="219">
        <v>18.459700000000002</v>
      </c>
      <c r="F278" s="219">
        <v>13.846399999999999</v>
      </c>
      <c r="G278" s="219">
        <v>9.9978999999999996</v>
      </c>
      <c r="H278" s="219">
        <v>8.3391999999999999</v>
      </c>
      <c r="I278" s="219">
        <v>9.5474999999999994</v>
      </c>
      <c r="J278" s="219">
        <v>11.5433</v>
      </c>
      <c r="K278" s="219">
        <v>15.255100000000001</v>
      </c>
      <c r="L278" s="219">
        <v>19.347799999999999</v>
      </c>
      <c r="M278" s="219">
        <v>23.994499999999999</v>
      </c>
      <c r="N278" s="220">
        <v>25.9499</v>
      </c>
      <c r="O278" s="221">
        <v>16.97</v>
      </c>
    </row>
    <row r="279" spans="1:15" ht="15" x14ac:dyDescent="0.25">
      <c r="A279" s="40">
        <f t="shared" ref="A279:A298" si="50">O$275*100+B279</f>
        <v>1105</v>
      </c>
      <c r="B279" s="108">
        <v>5</v>
      </c>
      <c r="C279" s="218">
        <v>25.8369</v>
      </c>
      <c r="D279" s="219">
        <v>22.0684</v>
      </c>
      <c r="E279" s="219">
        <v>19.100200000000001</v>
      </c>
      <c r="F279" s="219">
        <v>14.6601</v>
      </c>
      <c r="G279" s="219">
        <v>10.783799999999999</v>
      </c>
      <c r="H279" s="219">
        <v>9.0877999999999997</v>
      </c>
      <c r="I279" s="219">
        <v>10.4428</v>
      </c>
      <c r="J279" s="219">
        <v>12.286099999999999</v>
      </c>
      <c r="K279" s="219">
        <v>15.9148</v>
      </c>
      <c r="L279" s="219">
        <v>19.7636</v>
      </c>
      <c r="M279" s="219">
        <v>24.123200000000001</v>
      </c>
      <c r="N279" s="220">
        <v>25.861000000000001</v>
      </c>
      <c r="O279" s="221">
        <v>17.473400000000002</v>
      </c>
    </row>
    <row r="280" spans="1:15" ht="15" x14ac:dyDescent="0.25">
      <c r="A280" s="40">
        <f t="shared" si="50"/>
        <v>1110</v>
      </c>
      <c r="B280" s="108">
        <v>10</v>
      </c>
      <c r="C280" s="218">
        <v>25.6662</v>
      </c>
      <c r="D280" s="219">
        <v>22.238800000000001</v>
      </c>
      <c r="E280" s="219">
        <v>19.625499999999999</v>
      </c>
      <c r="F280" s="219">
        <v>15.386900000000001</v>
      </c>
      <c r="G280" s="219">
        <v>11.507899999999999</v>
      </c>
      <c r="H280" s="219">
        <v>9.7851999999999997</v>
      </c>
      <c r="I280" s="219">
        <v>11.2765</v>
      </c>
      <c r="J280" s="219">
        <v>12.958299999999999</v>
      </c>
      <c r="K280" s="219">
        <v>16.480399999999999</v>
      </c>
      <c r="L280" s="219">
        <v>20.060400000000001</v>
      </c>
      <c r="M280" s="219">
        <v>24.104099999999999</v>
      </c>
      <c r="N280" s="220">
        <v>25.613299999999999</v>
      </c>
      <c r="O280" s="221">
        <v>17.8721</v>
      </c>
    </row>
    <row r="281" spans="1:15" ht="15" x14ac:dyDescent="0.25">
      <c r="A281" s="40">
        <f t="shared" si="50"/>
        <v>1115</v>
      </c>
      <c r="B281" s="108">
        <v>15</v>
      </c>
      <c r="C281" s="218">
        <v>25.338200000000001</v>
      </c>
      <c r="D281" s="219">
        <v>22.2758</v>
      </c>
      <c r="E281" s="219">
        <v>20.031400000000001</v>
      </c>
      <c r="F281" s="219">
        <v>16.021100000000001</v>
      </c>
      <c r="G281" s="219">
        <v>12.1647</v>
      </c>
      <c r="H281" s="219">
        <v>10.426</v>
      </c>
      <c r="I281" s="219">
        <v>12.0421</v>
      </c>
      <c r="J281" s="219">
        <v>13.5548</v>
      </c>
      <c r="K281" s="219">
        <v>16.947500000000002</v>
      </c>
      <c r="L281" s="219">
        <v>20.236000000000001</v>
      </c>
      <c r="M281" s="219">
        <v>23.9373</v>
      </c>
      <c r="N281" s="220">
        <v>25.208500000000001</v>
      </c>
      <c r="O281" s="221">
        <v>18.1631</v>
      </c>
    </row>
    <row r="282" spans="1:15" ht="15" x14ac:dyDescent="0.25">
      <c r="A282" s="40">
        <f t="shared" si="50"/>
        <v>1120</v>
      </c>
      <c r="B282" s="108">
        <v>20</v>
      </c>
      <c r="C282" s="218">
        <v>24.855399999999999</v>
      </c>
      <c r="D282" s="219">
        <v>22.179099999999998</v>
      </c>
      <c r="E282" s="219">
        <v>20.315000000000001</v>
      </c>
      <c r="F282" s="219">
        <v>16.558</v>
      </c>
      <c r="G282" s="219">
        <v>12.7492</v>
      </c>
      <c r="H282" s="219">
        <v>11.0053</v>
      </c>
      <c r="I282" s="219">
        <v>12.7338</v>
      </c>
      <c r="J282" s="219">
        <v>14.071</v>
      </c>
      <c r="K282" s="219">
        <v>17.312799999999999</v>
      </c>
      <c r="L282" s="219">
        <v>20.289100000000001</v>
      </c>
      <c r="M282" s="219">
        <v>23.624199999999998</v>
      </c>
      <c r="N282" s="220">
        <v>24.649799999999999</v>
      </c>
      <c r="O282" s="221">
        <v>18.344100000000001</v>
      </c>
    </row>
    <row r="283" spans="1:15" ht="15" x14ac:dyDescent="0.25">
      <c r="A283" s="40">
        <f t="shared" si="50"/>
        <v>1125</v>
      </c>
      <c r="B283" s="108">
        <v>25</v>
      </c>
      <c r="C283" s="222">
        <v>24.221499999999999</v>
      </c>
      <c r="D283" s="223">
        <v>21.949400000000001</v>
      </c>
      <c r="E283" s="223">
        <v>20.4739</v>
      </c>
      <c r="F283" s="223">
        <v>16.993400000000001</v>
      </c>
      <c r="G283" s="223">
        <v>13.257</v>
      </c>
      <c r="H283" s="223">
        <v>11.518800000000001</v>
      </c>
      <c r="I283" s="223">
        <v>13.346399999999999</v>
      </c>
      <c r="J283" s="223">
        <v>14.5031</v>
      </c>
      <c r="K283" s="223">
        <v>17.5733</v>
      </c>
      <c r="L283" s="223">
        <v>20.219200000000001</v>
      </c>
      <c r="M283" s="223">
        <v>23.167100000000001</v>
      </c>
      <c r="N283" s="224">
        <v>23.944400000000002</v>
      </c>
      <c r="O283" s="225">
        <v>18.413900000000002</v>
      </c>
    </row>
    <row r="284" spans="1:15" ht="15" x14ac:dyDescent="0.25">
      <c r="A284" s="40">
        <f t="shared" si="50"/>
        <v>1130</v>
      </c>
      <c r="B284" s="108">
        <v>30</v>
      </c>
      <c r="C284" s="218">
        <v>23.445</v>
      </c>
      <c r="D284" s="219">
        <v>21.5885</v>
      </c>
      <c r="E284" s="219">
        <v>20.507100000000001</v>
      </c>
      <c r="F284" s="219">
        <v>17.324000000000002</v>
      </c>
      <c r="G284" s="219">
        <v>13.684100000000001</v>
      </c>
      <c r="H284" s="219">
        <v>11.9625</v>
      </c>
      <c r="I284" s="219">
        <v>13.8752</v>
      </c>
      <c r="J284" s="219">
        <v>14.8477</v>
      </c>
      <c r="K284" s="219">
        <v>17.7271</v>
      </c>
      <c r="L284" s="219">
        <v>20.026900000000001</v>
      </c>
      <c r="M284" s="219">
        <v>22.569400000000002</v>
      </c>
      <c r="N284" s="220">
        <v>23.113700000000001</v>
      </c>
      <c r="O284" s="221">
        <v>18.373899999999999</v>
      </c>
    </row>
    <row r="285" spans="1:15" ht="15" x14ac:dyDescent="0.25">
      <c r="A285" s="40">
        <f t="shared" si="50"/>
        <v>1135</v>
      </c>
      <c r="B285" s="108">
        <v>35</v>
      </c>
      <c r="C285" s="218">
        <v>22.5641</v>
      </c>
      <c r="D285" s="219">
        <v>21.1</v>
      </c>
      <c r="E285" s="219">
        <v>20.414300000000001</v>
      </c>
      <c r="F285" s="219">
        <v>17.5474</v>
      </c>
      <c r="G285" s="219">
        <v>14.0274</v>
      </c>
      <c r="H285" s="219">
        <v>12.3331</v>
      </c>
      <c r="I285" s="219">
        <v>14.3162</v>
      </c>
      <c r="J285" s="219">
        <v>15.1022</v>
      </c>
      <c r="K285" s="219">
        <v>17.773</v>
      </c>
      <c r="L285" s="219">
        <v>19.713699999999999</v>
      </c>
      <c r="M285" s="219">
        <v>21.835799999999999</v>
      </c>
      <c r="N285" s="220">
        <v>22.148</v>
      </c>
      <c r="O285" s="221">
        <v>18.2256</v>
      </c>
    </row>
    <row r="286" spans="1:15" ht="15" x14ac:dyDescent="0.25">
      <c r="A286" s="40">
        <f t="shared" si="50"/>
        <v>1140</v>
      </c>
      <c r="B286" s="108">
        <v>40</v>
      </c>
      <c r="C286" s="218">
        <v>21.581199999999999</v>
      </c>
      <c r="D286" s="219">
        <v>20.492899999999999</v>
      </c>
      <c r="E286" s="219">
        <v>20.196200000000001</v>
      </c>
      <c r="F286" s="219">
        <v>17.661799999999999</v>
      </c>
      <c r="G286" s="219">
        <v>14.2842</v>
      </c>
      <c r="H286" s="219">
        <v>12.6196</v>
      </c>
      <c r="I286" s="219">
        <v>14.6653</v>
      </c>
      <c r="J286" s="219">
        <v>15.264699999999999</v>
      </c>
      <c r="K286" s="219">
        <v>17.710699999999999</v>
      </c>
      <c r="L286" s="219">
        <v>19.2819</v>
      </c>
      <c r="M286" s="219">
        <v>20.971900000000002</v>
      </c>
      <c r="N286" s="220">
        <v>21.0579</v>
      </c>
      <c r="O286" s="221">
        <v>17.969799999999999</v>
      </c>
    </row>
    <row r="287" spans="1:15" ht="15" x14ac:dyDescent="0.25">
      <c r="A287" s="40">
        <f t="shared" si="50"/>
        <v>1145</v>
      </c>
      <c r="B287" s="108">
        <v>45</v>
      </c>
      <c r="C287" s="218">
        <v>20.4741</v>
      </c>
      <c r="D287" s="219">
        <v>19.765599999999999</v>
      </c>
      <c r="E287" s="219">
        <v>19.854399999999998</v>
      </c>
      <c r="F287" s="219">
        <v>17.666399999999999</v>
      </c>
      <c r="G287" s="219">
        <v>14.4489</v>
      </c>
      <c r="H287" s="219">
        <v>12.8232</v>
      </c>
      <c r="I287" s="219">
        <v>14.914899999999999</v>
      </c>
      <c r="J287" s="219">
        <v>15.3339</v>
      </c>
      <c r="K287" s="219">
        <v>17.540700000000001</v>
      </c>
      <c r="L287" s="219">
        <v>18.7348</v>
      </c>
      <c r="M287" s="219">
        <v>19.984100000000002</v>
      </c>
      <c r="N287" s="220">
        <v>19.871099999999998</v>
      </c>
      <c r="O287" s="221">
        <v>17.6067</v>
      </c>
    </row>
    <row r="288" spans="1:15" ht="15" x14ac:dyDescent="0.25">
      <c r="A288" s="40">
        <f t="shared" si="50"/>
        <v>1150</v>
      </c>
      <c r="B288" s="108">
        <v>50</v>
      </c>
      <c r="C288" s="218">
        <v>19.249199999999998</v>
      </c>
      <c r="D288" s="219">
        <v>18.9238</v>
      </c>
      <c r="E288" s="219">
        <v>19.391500000000001</v>
      </c>
      <c r="F288" s="219">
        <v>17.561</v>
      </c>
      <c r="G288" s="219">
        <v>14.521000000000001</v>
      </c>
      <c r="H288" s="219">
        <v>12.9489</v>
      </c>
      <c r="I288" s="219">
        <v>15.065099999999999</v>
      </c>
      <c r="J288" s="219">
        <v>15.3093</v>
      </c>
      <c r="K288" s="219">
        <v>17.264099999999999</v>
      </c>
      <c r="L288" s="219">
        <v>18.076599999999999</v>
      </c>
      <c r="M288" s="219">
        <v>18.888100000000001</v>
      </c>
      <c r="N288" s="220">
        <v>18.586600000000001</v>
      </c>
      <c r="O288" s="221">
        <v>17.139500000000002</v>
      </c>
    </row>
    <row r="289" spans="1:16" ht="15" x14ac:dyDescent="0.25">
      <c r="A289" s="40">
        <f t="shared" si="50"/>
        <v>1155</v>
      </c>
      <c r="B289" s="108">
        <v>55</v>
      </c>
      <c r="C289" s="218">
        <v>17.915900000000001</v>
      </c>
      <c r="D289" s="219">
        <v>17.973700000000001</v>
      </c>
      <c r="E289" s="219">
        <v>18.8111</v>
      </c>
      <c r="F289" s="219">
        <v>17.346599999999999</v>
      </c>
      <c r="G289" s="219">
        <v>14.502599999999999</v>
      </c>
      <c r="H289" s="219">
        <v>12.9955</v>
      </c>
      <c r="I289" s="219">
        <v>15.117699999999999</v>
      </c>
      <c r="J289" s="219">
        <v>15.1911</v>
      </c>
      <c r="K289" s="219">
        <v>16.883299999999998</v>
      </c>
      <c r="L289" s="219">
        <v>17.3123</v>
      </c>
      <c r="M289" s="219">
        <v>17.700800000000001</v>
      </c>
      <c r="N289" s="220">
        <v>17.198899999999998</v>
      </c>
      <c r="O289" s="221">
        <v>16.5715</v>
      </c>
    </row>
    <row r="290" spans="1:16" ht="15" x14ac:dyDescent="0.25">
      <c r="A290" s="40">
        <f t="shared" si="50"/>
        <v>1160</v>
      </c>
      <c r="B290" s="108">
        <v>60</v>
      </c>
      <c r="C290" s="218">
        <v>16.484400000000001</v>
      </c>
      <c r="D290" s="219">
        <v>16.922699999999999</v>
      </c>
      <c r="E290" s="219">
        <v>18.117599999999999</v>
      </c>
      <c r="F290" s="219">
        <v>17.024799999999999</v>
      </c>
      <c r="G290" s="219">
        <v>14.3948</v>
      </c>
      <c r="H290" s="219">
        <v>12.9588</v>
      </c>
      <c r="I290" s="219">
        <v>15.073399999999999</v>
      </c>
      <c r="J290" s="219">
        <v>14.9802</v>
      </c>
      <c r="K290" s="219">
        <v>16.4009</v>
      </c>
      <c r="L290" s="219">
        <v>16.448399999999999</v>
      </c>
      <c r="M290" s="219">
        <v>16.4541</v>
      </c>
      <c r="N290" s="220">
        <v>15.7591</v>
      </c>
      <c r="O290" s="221">
        <v>15.9123</v>
      </c>
    </row>
    <row r="291" spans="1:16" ht="15" x14ac:dyDescent="0.25">
      <c r="A291" s="40">
        <f t="shared" si="50"/>
        <v>1165</v>
      </c>
      <c r="B291" s="108">
        <v>65</v>
      </c>
      <c r="C291" s="218">
        <v>14.9841</v>
      </c>
      <c r="D291" s="219">
        <v>15.7788</v>
      </c>
      <c r="E291" s="219">
        <v>17.316299999999998</v>
      </c>
      <c r="F291" s="219">
        <v>16.597899999999999</v>
      </c>
      <c r="G291" s="219">
        <v>14.199199999999999</v>
      </c>
      <c r="H291" s="219">
        <v>12.843299999999999</v>
      </c>
      <c r="I291" s="219">
        <v>14.9338</v>
      </c>
      <c r="J291" s="219">
        <v>14.678100000000001</v>
      </c>
      <c r="K291" s="219">
        <v>15.8208</v>
      </c>
      <c r="L291" s="219">
        <v>15.4968</v>
      </c>
      <c r="M291" s="219">
        <v>15.1305</v>
      </c>
      <c r="N291" s="220">
        <v>14.261200000000001</v>
      </c>
      <c r="O291" s="221">
        <v>15.165900000000001</v>
      </c>
    </row>
    <row r="292" spans="1:16" ht="15" x14ac:dyDescent="0.25">
      <c r="A292" s="40">
        <f t="shared" si="50"/>
        <v>1170</v>
      </c>
      <c r="B292" s="108">
        <v>70</v>
      </c>
      <c r="C292" s="218">
        <v>13.4795</v>
      </c>
      <c r="D292" s="219">
        <v>14.550599999999999</v>
      </c>
      <c r="E292" s="219">
        <v>16.4132</v>
      </c>
      <c r="F292" s="219">
        <v>16.069299999999998</v>
      </c>
      <c r="G292" s="219">
        <v>13.9176</v>
      </c>
      <c r="H292" s="219">
        <v>12.6516</v>
      </c>
      <c r="I292" s="219">
        <v>14.7018</v>
      </c>
      <c r="J292" s="219">
        <v>14.2873</v>
      </c>
      <c r="K292" s="219">
        <v>15.1473</v>
      </c>
      <c r="L292" s="219">
        <v>14.468</v>
      </c>
      <c r="M292" s="219">
        <v>13.728300000000001</v>
      </c>
      <c r="N292" s="220">
        <v>12.715999999999999</v>
      </c>
      <c r="O292" s="221">
        <v>14.341900000000001</v>
      </c>
    </row>
    <row r="293" spans="1:16" ht="15" x14ac:dyDescent="0.25">
      <c r="A293" s="40">
        <f t="shared" si="50"/>
        <v>1175</v>
      </c>
      <c r="B293" s="108">
        <v>75</v>
      </c>
      <c r="C293" s="218">
        <v>11.9618</v>
      </c>
      <c r="D293" s="219">
        <v>13.2584</v>
      </c>
      <c r="E293" s="219">
        <v>15.4153</v>
      </c>
      <c r="F293" s="219">
        <v>15.4429</v>
      </c>
      <c r="G293" s="219">
        <v>13.5525</v>
      </c>
      <c r="H293" s="219">
        <v>12.3855</v>
      </c>
      <c r="I293" s="219">
        <v>14.38</v>
      </c>
      <c r="J293" s="219">
        <v>13.810700000000001</v>
      </c>
      <c r="K293" s="219">
        <v>14.3856</v>
      </c>
      <c r="L293" s="219">
        <v>13.366</v>
      </c>
      <c r="M293" s="219">
        <v>12.2593</v>
      </c>
      <c r="N293" s="220">
        <v>11.1671</v>
      </c>
      <c r="O293" s="221">
        <v>13.448399999999999</v>
      </c>
    </row>
    <row r="294" spans="1:16" ht="15" x14ac:dyDescent="0.25">
      <c r="A294" s="40">
        <f t="shared" si="50"/>
        <v>1180</v>
      </c>
      <c r="B294" s="108">
        <v>80</v>
      </c>
      <c r="C294" s="218">
        <v>10.393000000000001</v>
      </c>
      <c r="D294" s="219">
        <v>11.928100000000001</v>
      </c>
      <c r="E294" s="219">
        <v>14.3301</v>
      </c>
      <c r="F294" s="219">
        <v>14.723599999999999</v>
      </c>
      <c r="G294" s="219">
        <v>13.106299999999999</v>
      </c>
      <c r="H294" s="219">
        <v>12.0467</v>
      </c>
      <c r="I294" s="219">
        <v>13.9703</v>
      </c>
      <c r="J294" s="219">
        <v>13.251799999999999</v>
      </c>
      <c r="K294" s="219">
        <v>13.541399999999999</v>
      </c>
      <c r="L294" s="219">
        <v>12.1967</v>
      </c>
      <c r="M294" s="219">
        <v>10.7628</v>
      </c>
      <c r="N294" s="220">
        <v>9.6189</v>
      </c>
      <c r="O294" s="221">
        <v>12.4907</v>
      </c>
    </row>
    <row r="295" spans="1:16" ht="15" x14ac:dyDescent="0.25">
      <c r="A295" s="40">
        <f t="shared" si="50"/>
        <v>1185</v>
      </c>
      <c r="B295" s="109">
        <v>85</v>
      </c>
      <c r="C295" s="226">
        <v>8.8377999999999997</v>
      </c>
      <c r="D295" s="227">
        <v>10.565799999999999</v>
      </c>
      <c r="E295" s="227">
        <v>13.165900000000001</v>
      </c>
      <c r="F295" s="227">
        <v>13.9168</v>
      </c>
      <c r="G295" s="227">
        <v>12.5824</v>
      </c>
      <c r="H295" s="227">
        <v>11.6371</v>
      </c>
      <c r="I295" s="227">
        <v>13.474600000000001</v>
      </c>
      <c r="J295" s="227">
        <v>12.615</v>
      </c>
      <c r="K295" s="227">
        <v>12.6212</v>
      </c>
      <c r="L295" s="227">
        <v>10.9679</v>
      </c>
      <c r="M295" s="227">
        <v>9.2895000000000003</v>
      </c>
      <c r="N295" s="228">
        <v>8.1245999999999992</v>
      </c>
      <c r="O295" s="229">
        <v>11.486599999999999</v>
      </c>
    </row>
    <row r="296" spans="1:16" x14ac:dyDescent="0.2">
      <c r="A296" s="40">
        <f t="shared" si="50"/>
        <v>1190</v>
      </c>
      <c r="B296" s="40">
        <v>90</v>
      </c>
    </row>
    <row r="297" spans="1:16" x14ac:dyDescent="0.2">
      <c r="A297" s="40">
        <f t="shared" si="50"/>
        <v>1191</v>
      </c>
      <c r="B297" s="40">
        <v>91</v>
      </c>
      <c r="C297" s="107">
        <f>T12</f>
        <v>24.8</v>
      </c>
      <c r="D297" s="107">
        <f t="shared" ref="D297:O297" si="51">U12</f>
        <v>23.7</v>
      </c>
      <c r="E297" s="107">
        <f t="shared" si="51"/>
        <v>21.6</v>
      </c>
      <c r="F297" s="107">
        <f t="shared" si="51"/>
        <v>18</v>
      </c>
      <c r="G297" s="107">
        <f t="shared" si="51"/>
        <v>14.8</v>
      </c>
      <c r="H297" s="107">
        <f t="shared" si="51"/>
        <v>11.7</v>
      </c>
      <c r="I297" s="107">
        <f t="shared" si="51"/>
        <v>11.8</v>
      </c>
      <c r="J297" s="107">
        <f t="shared" si="51"/>
        <v>12.9</v>
      </c>
      <c r="K297" s="107">
        <f t="shared" si="51"/>
        <v>14.6</v>
      </c>
      <c r="L297" s="107">
        <f t="shared" si="51"/>
        <v>17.5</v>
      </c>
      <c r="M297" s="107">
        <f t="shared" si="51"/>
        <v>20.399999999999999</v>
      </c>
      <c r="N297" s="107">
        <f t="shared" si="51"/>
        <v>23.1</v>
      </c>
      <c r="O297" s="107">
        <f t="shared" si="51"/>
        <v>17.899999999999999</v>
      </c>
      <c r="P297" s="41" t="s">
        <v>678</v>
      </c>
    </row>
    <row r="298" spans="1:16" x14ac:dyDescent="0.2">
      <c r="A298" s="40">
        <f t="shared" si="50"/>
        <v>1192</v>
      </c>
      <c r="B298" s="40">
        <v>92</v>
      </c>
      <c r="C298" s="343">
        <f>T36</f>
        <v>28.4</v>
      </c>
      <c r="D298" s="343">
        <f t="shared" ref="D298:O298" si="52">U36</f>
        <v>28.5</v>
      </c>
      <c r="E298" s="343">
        <f t="shared" si="52"/>
        <v>26.1</v>
      </c>
      <c r="F298" s="343">
        <f t="shared" si="52"/>
        <v>21.7</v>
      </c>
      <c r="G298" s="343">
        <f t="shared" si="52"/>
        <v>16.600000000000001</v>
      </c>
      <c r="H298" s="343">
        <f t="shared" si="52"/>
        <v>12</v>
      </c>
      <c r="I298" s="343">
        <f t="shared" si="52"/>
        <v>9.3000000000000007</v>
      </c>
      <c r="J298" s="343">
        <f t="shared" si="52"/>
        <v>9.1999999999999993</v>
      </c>
      <c r="K298" s="343">
        <f t="shared" si="52"/>
        <v>11.7</v>
      </c>
      <c r="L298" s="343">
        <f t="shared" si="52"/>
        <v>16.100000000000001</v>
      </c>
      <c r="M298" s="343">
        <f t="shared" si="52"/>
        <v>21.3</v>
      </c>
      <c r="N298" s="343">
        <f t="shared" si="52"/>
        <v>25.8</v>
      </c>
      <c r="O298" s="343">
        <f t="shared" si="52"/>
        <v>0</v>
      </c>
    </row>
    <row r="300" spans="1:16" ht="15" x14ac:dyDescent="0.25">
      <c r="B300" s="231" t="s">
        <v>652</v>
      </c>
      <c r="C300" s="230"/>
      <c r="D300" s="230"/>
      <c r="E300" s="230"/>
      <c r="F300" s="230"/>
      <c r="G300" s="957" t="s">
        <v>613</v>
      </c>
      <c r="H300" s="957"/>
      <c r="I300" s="957"/>
      <c r="J300" s="957"/>
      <c r="K300" s="957"/>
      <c r="L300" s="957"/>
      <c r="M300" s="957"/>
      <c r="N300" s="957"/>
      <c r="O300" s="131">
        <v>12</v>
      </c>
    </row>
    <row r="301" spans="1:16" ht="14.25" x14ac:dyDescent="0.2">
      <c r="B301" s="230" t="s">
        <v>614</v>
      </c>
      <c r="C301" s="230" t="s">
        <v>653</v>
      </c>
      <c r="D301" s="230" t="s">
        <v>616</v>
      </c>
      <c r="E301" s="230" t="s">
        <v>654</v>
      </c>
      <c r="F301" s="230"/>
      <c r="G301" s="958" t="s">
        <v>618</v>
      </c>
      <c r="H301" s="958"/>
      <c r="I301" s="958"/>
      <c r="J301" s="958"/>
      <c r="K301" s="958"/>
      <c r="L301" s="958"/>
      <c r="M301" s="958"/>
      <c r="N301" s="958"/>
      <c r="O301" s="958"/>
    </row>
    <row r="302" spans="1:16" ht="15" x14ac:dyDescent="0.25">
      <c r="B302" s="232" t="s">
        <v>619</v>
      </c>
      <c r="C302" s="91" t="s">
        <v>4</v>
      </c>
      <c r="D302" s="91" t="s">
        <v>5</v>
      </c>
      <c r="E302" s="91" t="s">
        <v>6</v>
      </c>
      <c r="F302" s="91" t="s">
        <v>7</v>
      </c>
      <c r="G302" s="91" t="s">
        <v>8</v>
      </c>
      <c r="H302" s="91" t="s">
        <v>9</v>
      </c>
      <c r="I302" s="91" t="s">
        <v>10</v>
      </c>
      <c r="J302" s="91" t="s">
        <v>11</v>
      </c>
      <c r="K302" s="91" t="s">
        <v>12</v>
      </c>
      <c r="L302" s="91" t="s">
        <v>13</v>
      </c>
      <c r="M302" s="91" t="s">
        <v>14</v>
      </c>
      <c r="N302" s="91" t="s">
        <v>15</v>
      </c>
      <c r="O302" s="233" t="s">
        <v>620</v>
      </c>
    </row>
    <row r="303" spans="1:16" ht="15" x14ac:dyDescent="0.25">
      <c r="A303" s="40">
        <f>O$300*100+B303</f>
        <v>1200</v>
      </c>
      <c r="B303" s="108">
        <v>0</v>
      </c>
      <c r="C303" s="234">
        <v>26.317699999999999</v>
      </c>
      <c r="D303" s="235">
        <v>21.8797</v>
      </c>
      <c r="E303" s="235">
        <v>18.3323</v>
      </c>
      <c r="F303" s="235">
        <v>13.6328</v>
      </c>
      <c r="G303" s="235">
        <v>9.7297999999999991</v>
      </c>
      <c r="H303" s="235">
        <v>8.1277000000000008</v>
      </c>
      <c r="I303" s="235">
        <v>9.2445000000000004</v>
      </c>
      <c r="J303" s="235">
        <v>11.340299999999999</v>
      </c>
      <c r="K303" s="235">
        <v>15.229900000000001</v>
      </c>
      <c r="L303" s="235">
        <v>19.234200000000001</v>
      </c>
      <c r="M303" s="235">
        <v>23.984999999999999</v>
      </c>
      <c r="N303" s="236">
        <v>25.625499999999999</v>
      </c>
      <c r="O303" s="237">
        <v>16.867000000000001</v>
      </c>
    </row>
    <row r="304" spans="1:16" ht="15" x14ac:dyDescent="0.25">
      <c r="A304" s="40">
        <f t="shared" ref="A304:A323" si="53">O$300*100+B304</f>
        <v>1205</v>
      </c>
      <c r="B304" s="108">
        <v>5</v>
      </c>
      <c r="C304" s="234">
        <v>26.3293</v>
      </c>
      <c r="D304" s="235">
        <v>22.200700000000001</v>
      </c>
      <c r="E304" s="235">
        <v>18.983799999999999</v>
      </c>
      <c r="F304" s="235">
        <v>14.4437</v>
      </c>
      <c r="G304" s="235">
        <v>10.5054</v>
      </c>
      <c r="H304" s="235">
        <v>8.8489000000000004</v>
      </c>
      <c r="I304" s="235">
        <v>10.1211</v>
      </c>
      <c r="J304" s="235">
        <v>12.0869</v>
      </c>
      <c r="K304" s="235">
        <v>15.904500000000001</v>
      </c>
      <c r="L304" s="235">
        <v>19.660299999999999</v>
      </c>
      <c r="M304" s="235">
        <v>24.130800000000001</v>
      </c>
      <c r="N304" s="236">
        <v>25.556100000000001</v>
      </c>
      <c r="O304" s="237">
        <v>17.375299999999999</v>
      </c>
    </row>
    <row r="305" spans="1:15" ht="15" x14ac:dyDescent="0.25">
      <c r="A305" s="40">
        <f t="shared" si="53"/>
        <v>1210</v>
      </c>
      <c r="B305" s="108">
        <v>10</v>
      </c>
      <c r="C305" s="234">
        <v>26.178000000000001</v>
      </c>
      <c r="D305" s="235">
        <v>22.388100000000001</v>
      </c>
      <c r="E305" s="235">
        <v>19.520800000000001</v>
      </c>
      <c r="F305" s="235">
        <v>15.1693</v>
      </c>
      <c r="G305" s="235">
        <v>11.221</v>
      </c>
      <c r="H305" s="235">
        <v>9.5206999999999997</v>
      </c>
      <c r="I305" s="235">
        <v>10.9381</v>
      </c>
      <c r="J305" s="235">
        <v>12.763999999999999</v>
      </c>
      <c r="K305" s="235">
        <v>16.484999999999999</v>
      </c>
      <c r="L305" s="235">
        <v>19.968499999999999</v>
      </c>
      <c r="M305" s="235">
        <v>24.129300000000001</v>
      </c>
      <c r="N305" s="236">
        <v>25.3306</v>
      </c>
      <c r="O305" s="237">
        <v>17.779599999999999</v>
      </c>
    </row>
    <row r="306" spans="1:15" ht="15" x14ac:dyDescent="0.25">
      <c r="A306" s="40">
        <f t="shared" si="53"/>
        <v>1215</v>
      </c>
      <c r="B306" s="108">
        <v>15</v>
      </c>
      <c r="C306" s="234">
        <v>25.865100000000002</v>
      </c>
      <c r="D306" s="235">
        <v>22.4406</v>
      </c>
      <c r="E306" s="235">
        <v>19.9392</v>
      </c>
      <c r="F306" s="235">
        <v>15.8041</v>
      </c>
      <c r="G306" s="235">
        <v>11.8711</v>
      </c>
      <c r="H306" s="235">
        <v>10.138</v>
      </c>
      <c r="I306" s="235">
        <v>11.689399999999999</v>
      </c>
      <c r="J306" s="235">
        <v>13.366400000000001</v>
      </c>
      <c r="K306" s="235">
        <v>16.966999999999999</v>
      </c>
      <c r="L306" s="235">
        <v>20.156400000000001</v>
      </c>
      <c r="M306" s="235">
        <v>23.980499999999999</v>
      </c>
      <c r="N306" s="236">
        <v>24.950800000000001</v>
      </c>
      <c r="O306" s="237">
        <v>18.076799999999999</v>
      </c>
    </row>
    <row r="307" spans="1:15" ht="15" x14ac:dyDescent="0.25">
      <c r="A307" s="40">
        <f t="shared" si="53"/>
        <v>1220</v>
      </c>
      <c r="B307" s="108">
        <v>20</v>
      </c>
      <c r="C307" s="234">
        <v>25.393000000000001</v>
      </c>
      <c r="D307" s="235">
        <v>22.357600000000001</v>
      </c>
      <c r="E307" s="235">
        <v>20.235800000000001</v>
      </c>
      <c r="F307" s="235">
        <v>16.343299999999999</v>
      </c>
      <c r="G307" s="235">
        <v>12.450799999999999</v>
      </c>
      <c r="H307" s="235">
        <v>10.696099999999999</v>
      </c>
      <c r="I307" s="235">
        <v>12.369199999999999</v>
      </c>
      <c r="J307" s="235">
        <v>13.889699999999999</v>
      </c>
      <c r="K307" s="235">
        <v>17.346800000000002</v>
      </c>
      <c r="L307" s="235">
        <v>20.2225</v>
      </c>
      <c r="M307" s="235">
        <v>23.685500000000001</v>
      </c>
      <c r="N307" s="236">
        <v>24.419599999999999</v>
      </c>
      <c r="O307" s="237">
        <v>18.264600000000002</v>
      </c>
    </row>
    <row r="308" spans="1:15" ht="15" x14ac:dyDescent="0.25">
      <c r="A308" s="40">
        <f t="shared" si="53"/>
        <v>1225</v>
      </c>
      <c r="B308" s="108">
        <v>25</v>
      </c>
      <c r="C308" s="238">
        <v>24.7653</v>
      </c>
      <c r="D308" s="239">
        <v>22.139900000000001</v>
      </c>
      <c r="E308" s="239">
        <v>20.4085</v>
      </c>
      <c r="F308" s="239">
        <v>16.782800000000002</v>
      </c>
      <c r="G308" s="239">
        <v>12.9557</v>
      </c>
      <c r="H308" s="239">
        <v>11.1907</v>
      </c>
      <c r="I308" s="239">
        <v>12.9724</v>
      </c>
      <c r="J308" s="239">
        <v>14.329800000000001</v>
      </c>
      <c r="K308" s="239">
        <v>17.621500000000001</v>
      </c>
      <c r="L308" s="239">
        <v>20.166499999999999</v>
      </c>
      <c r="M308" s="239">
        <v>23.246600000000001</v>
      </c>
      <c r="N308" s="240">
        <v>23.743400000000001</v>
      </c>
      <c r="O308" s="241">
        <v>18.341799999999999</v>
      </c>
    </row>
    <row r="309" spans="1:15" ht="15" x14ac:dyDescent="0.25">
      <c r="A309" s="40">
        <f t="shared" si="53"/>
        <v>1230</v>
      </c>
      <c r="B309" s="108">
        <v>30</v>
      </c>
      <c r="C309" s="234">
        <v>23.988199999999999</v>
      </c>
      <c r="D309" s="235">
        <v>21.789000000000001</v>
      </c>
      <c r="E309" s="235">
        <v>20.4558</v>
      </c>
      <c r="F309" s="235">
        <v>17.119199999999999</v>
      </c>
      <c r="G309" s="235">
        <v>13.382</v>
      </c>
      <c r="H309" s="235">
        <v>11.6181</v>
      </c>
      <c r="I309" s="235">
        <v>13.494400000000001</v>
      </c>
      <c r="J309" s="235">
        <v>14.683400000000001</v>
      </c>
      <c r="K309" s="235">
        <v>17.789100000000001</v>
      </c>
      <c r="L309" s="235">
        <v>19.988600000000002</v>
      </c>
      <c r="M309" s="235">
        <v>22.667200000000001</v>
      </c>
      <c r="N309" s="236">
        <v>22.943899999999999</v>
      </c>
      <c r="O309" s="237">
        <v>18.3094</v>
      </c>
    </row>
    <row r="310" spans="1:15" ht="15" x14ac:dyDescent="0.25">
      <c r="A310" s="40">
        <f t="shared" si="53"/>
        <v>1235</v>
      </c>
      <c r="B310" s="108">
        <v>35</v>
      </c>
      <c r="C310" s="234">
        <v>23.098400000000002</v>
      </c>
      <c r="D310" s="235">
        <v>21.308700000000002</v>
      </c>
      <c r="E310" s="235">
        <v>20.377400000000002</v>
      </c>
      <c r="F310" s="235">
        <v>17.350000000000001</v>
      </c>
      <c r="G310" s="235">
        <v>13.7263</v>
      </c>
      <c r="H310" s="235">
        <v>11.975</v>
      </c>
      <c r="I310" s="235">
        <v>13.9312</v>
      </c>
      <c r="J310" s="235">
        <v>14.947800000000001</v>
      </c>
      <c r="K310" s="235">
        <v>17.848199999999999</v>
      </c>
      <c r="L310" s="235">
        <v>19.690300000000001</v>
      </c>
      <c r="M310" s="235">
        <v>21.951499999999999</v>
      </c>
      <c r="N310" s="236">
        <v>22.014199999999999</v>
      </c>
      <c r="O310" s="237">
        <v>18.1691</v>
      </c>
    </row>
    <row r="311" spans="1:15" ht="15" x14ac:dyDescent="0.25">
      <c r="A311" s="40">
        <f t="shared" si="53"/>
        <v>1240</v>
      </c>
      <c r="B311" s="108">
        <v>40</v>
      </c>
      <c r="C311" s="234">
        <v>22.1083</v>
      </c>
      <c r="D311" s="235">
        <v>20.709199999999999</v>
      </c>
      <c r="E311" s="235">
        <v>20.1739</v>
      </c>
      <c r="F311" s="235">
        <v>17.473400000000002</v>
      </c>
      <c r="G311" s="235">
        <v>13.9854</v>
      </c>
      <c r="H311" s="235">
        <v>12.2569</v>
      </c>
      <c r="I311" s="235">
        <v>14.2768</v>
      </c>
      <c r="J311" s="235">
        <v>15.120900000000001</v>
      </c>
      <c r="K311" s="235">
        <v>17.798300000000001</v>
      </c>
      <c r="L311" s="235">
        <v>19.273800000000001</v>
      </c>
      <c r="M311" s="235">
        <v>21.1052</v>
      </c>
      <c r="N311" s="236">
        <v>20.960599999999999</v>
      </c>
      <c r="O311" s="237">
        <v>17.922599999999999</v>
      </c>
    </row>
    <row r="312" spans="1:15" ht="15" x14ac:dyDescent="0.25">
      <c r="A312" s="40">
        <f t="shared" si="53"/>
        <v>1245</v>
      </c>
      <c r="B312" s="108">
        <v>45</v>
      </c>
      <c r="C312" s="234">
        <v>20.990400000000001</v>
      </c>
      <c r="D312" s="235">
        <v>19.988900000000001</v>
      </c>
      <c r="E312" s="235">
        <v>19.846800000000002</v>
      </c>
      <c r="F312" s="235">
        <v>17.488399999999999</v>
      </c>
      <c r="G312" s="235">
        <v>14.1533</v>
      </c>
      <c r="H312" s="235">
        <v>12.4633</v>
      </c>
      <c r="I312" s="235">
        <v>14.524699999999999</v>
      </c>
      <c r="J312" s="235">
        <v>15.201499999999999</v>
      </c>
      <c r="K312" s="235">
        <v>17.64</v>
      </c>
      <c r="L312" s="235">
        <v>18.7423</v>
      </c>
      <c r="M312" s="235">
        <v>20.134499999999999</v>
      </c>
      <c r="N312" s="236">
        <v>19.811</v>
      </c>
      <c r="O312" s="237">
        <v>17.569400000000002</v>
      </c>
    </row>
    <row r="313" spans="1:15" ht="15" x14ac:dyDescent="0.25">
      <c r="A313" s="40">
        <f t="shared" si="53"/>
        <v>1250</v>
      </c>
      <c r="B313" s="108">
        <v>50</v>
      </c>
      <c r="C313" s="234">
        <v>19.750399999999999</v>
      </c>
      <c r="D313" s="235">
        <v>19.151800000000001</v>
      </c>
      <c r="E313" s="235">
        <v>19.398700000000002</v>
      </c>
      <c r="F313" s="235">
        <v>17.395099999999999</v>
      </c>
      <c r="G313" s="235">
        <v>14.231400000000001</v>
      </c>
      <c r="H313" s="235">
        <v>12.592499999999999</v>
      </c>
      <c r="I313" s="235">
        <v>14.6769</v>
      </c>
      <c r="J313" s="235">
        <v>15.1889</v>
      </c>
      <c r="K313" s="235">
        <v>17.374400000000001</v>
      </c>
      <c r="L313" s="235">
        <v>18.099799999999998</v>
      </c>
      <c r="M313" s="235">
        <v>19.054300000000001</v>
      </c>
      <c r="N313" s="236">
        <v>18.565999999999999</v>
      </c>
      <c r="O313" s="237">
        <v>17.112400000000001</v>
      </c>
    </row>
    <row r="314" spans="1:15" ht="15" x14ac:dyDescent="0.25">
      <c r="A314" s="40">
        <f t="shared" si="53"/>
        <v>1255</v>
      </c>
      <c r="B314" s="108">
        <v>55</v>
      </c>
      <c r="C314" s="234">
        <v>18.3977</v>
      </c>
      <c r="D314" s="235">
        <v>18.2044</v>
      </c>
      <c r="E314" s="235">
        <v>18.832999999999998</v>
      </c>
      <c r="F314" s="235">
        <v>17.193999999999999</v>
      </c>
      <c r="G314" s="235">
        <v>14.2212</v>
      </c>
      <c r="H314" s="235">
        <v>12.636900000000001</v>
      </c>
      <c r="I314" s="235">
        <v>14.7325</v>
      </c>
      <c r="J314" s="235">
        <v>15.0832</v>
      </c>
      <c r="K314" s="235">
        <v>17.003399999999999</v>
      </c>
      <c r="L314" s="235">
        <v>17.351199999999999</v>
      </c>
      <c r="M314" s="235">
        <v>17.882100000000001</v>
      </c>
      <c r="N314" s="236">
        <v>17.218499999999999</v>
      </c>
      <c r="O314" s="237">
        <v>16.553899999999999</v>
      </c>
    </row>
    <row r="315" spans="1:15" ht="15" x14ac:dyDescent="0.25">
      <c r="A315" s="40">
        <f t="shared" si="53"/>
        <v>1260</v>
      </c>
      <c r="B315" s="108">
        <v>60</v>
      </c>
      <c r="C315" s="234">
        <v>16.942599999999999</v>
      </c>
      <c r="D315" s="235">
        <v>17.1538</v>
      </c>
      <c r="E315" s="235">
        <v>18.1539</v>
      </c>
      <c r="F315" s="235">
        <v>16.886700000000001</v>
      </c>
      <c r="G315" s="235">
        <v>14.1236</v>
      </c>
      <c r="H315" s="235">
        <v>12.603199999999999</v>
      </c>
      <c r="I315" s="235">
        <v>14.6938</v>
      </c>
      <c r="J315" s="235">
        <v>14.885300000000001</v>
      </c>
      <c r="K315" s="235">
        <v>16.53</v>
      </c>
      <c r="L315" s="235">
        <v>16.502800000000001</v>
      </c>
      <c r="M315" s="235">
        <v>16.643000000000001</v>
      </c>
      <c r="N315" s="236">
        <v>15.8057</v>
      </c>
      <c r="O315" s="237">
        <v>15.902799999999999</v>
      </c>
    </row>
    <row r="316" spans="1:15" ht="15" x14ac:dyDescent="0.25">
      <c r="A316" s="40">
        <f t="shared" si="53"/>
        <v>1265</v>
      </c>
      <c r="B316" s="108">
        <v>65</v>
      </c>
      <c r="C316" s="234">
        <v>15.4087</v>
      </c>
      <c r="D316" s="235">
        <v>16.007999999999999</v>
      </c>
      <c r="E316" s="235">
        <v>17.366599999999998</v>
      </c>
      <c r="F316" s="235">
        <v>16.4756</v>
      </c>
      <c r="G316" s="235">
        <v>13.940099999999999</v>
      </c>
      <c r="H316" s="235">
        <v>12.4938</v>
      </c>
      <c r="I316" s="235">
        <v>14.563700000000001</v>
      </c>
      <c r="J316" s="235">
        <v>14.5966</v>
      </c>
      <c r="K316" s="235">
        <v>15.957700000000001</v>
      </c>
      <c r="L316" s="235">
        <v>15.565899999999999</v>
      </c>
      <c r="M316" s="235">
        <v>15.3331</v>
      </c>
      <c r="N316" s="236">
        <v>14.344099999999999</v>
      </c>
      <c r="O316" s="237">
        <v>15.1655</v>
      </c>
    </row>
    <row r="317" spans="1:15" ht="15" x14ac:dyDescent="0.25">
      <c r="A317" s="40">
        <f t="shared" si="53"/>
        <v>1270</v>
      </c>
      <c r="B317" s="108">
        <v>70</v>
      </c>
      <c r="C317" s="234">
        <v>13.8643</v>
      </c>
      <c r="D317" s="235">
        <v>14.7758</v>
      </c>
      <c r="E317" s="235">
        <v>16.4772</v>
      </c>
      <c r="F317" s="235">
        <v>15.963699999999999</v>
      </c>
      <c r="G317" s="235">
        <v>13.6723</v>
      </c>
      <c r="H317" s="235">
        <v>12.3103</v>
      </c>
      <c r="I317" s="235">
        <v>14.344799999999999</v>
      </c>
      <c r="J317" s="235">
        <v>14.2194</v>
      </c>
      <c r="K317" s="235">
        <v>15.290900000000001</v>
      </c>
      <c r="L317" s="235">
        <v>14.5511</v>
      </c>
      <c r="M317" s="235">
        <v>13.944699999999999</v>
      </c>
      <c r="N317" s="236">
        <v>12.831200000000001</v>
      </c>
      <c r="O317" s="237">
        <v>14.350099999999999</v>
      </c>
    </row>
    <row r="318" spans="1:15" ht="15" x14ac:dyDescent="0.25">
      <c r="A318" s="40">
        <f t="shared" si="53"/>
        <v>1275</v>
      </c>
      <c r="B318" s="108">
        <v>75</v>
      </c>
      <c r="C318" s="234">
        <v>12.312900000000001</v>
      </c>
      <c r="D318" s="235">
        <v>13.475300000000001</v>
      </c>
      <c r="E318" s="235">
        <v>15.4923</v>
      </c>
      <c r="F318" s="235">
        <v>15.355</v>
      </c>
      <c r="G318" s="235">
        <v>13.3222</v>
      </c>
      <c r="H318" s="235">
        <v>12.054399999999999</v>
      </c>
      <c r="I318" s="235">
        <v>14.0389</v>
      </c>
      <c r="J318" s="235">
        <v>13.756500000000001</v>
      </c>
      <c r="K318" s="235">
        <v>14.534700000000001</v>
      </c>
      <c r="L318" s="235">
        <v>13.4628</v>
      </c>
      <c r="M318" s="235">
        <v>12.487500000000001</v>
      </c>
      <c r="N318" s="236">
        <v>11.315099999999999</v>
      </c>
      <c r="O318" s="237">
        <v>13.4657</v>
      </c>
    </row>
    <row r="319" spans="1:15" ht="15" x14ac:dyDescent="0.25">
      <c r="A319" s="40">
        <f t="shared" si="53"/>
        <v>1280</v>
      </c>
      <c r="B319" s="108">
        <v>80</v>
      </c>
      <c r="C319" s="234">
        <v>10.7097</v>
      </c>
      <c r="D319" s="235">
        <v>12.133599999999999</v>
      </c>
      <c r="E319" s="235">
        <v>14.419499999999999</v>
      </c>
      <c r="F319" s="235">
        <v>14.6541</v>
      </c>
      <c r="G319" s="235">
        <v>12.8926</v>
      </c>
      <c r="H319" s="235">
        <v>11.7279</v>
      </c>
      <c r="I319" s="235">
        <v>13.648199999999999</v>
      </c>
      <c r="J319" s="235">
        <v>13.211399999999999</v>
      </c>
      <c r="K319" s="235">
        <v>13.694800000000001</v>
      </c>
      <c r="L319" s="235">
        <v>12.306900000000001</v>
      </c>
      <c r="M319" s="235">
        <v>10.9964</v>
      </c>
      <c r="N319" s="236">
        <v>9.7850000000000001</v>
      </c>
      <c r="O319" s="237">
        <v>12.5154</v>
      </c>
    </row>
    <row r="320" spans="1:15" ht="15" x14ac:dyDescent="0.25">
      <c r="A320" s="40">
        <f t="shared" si="53"/>
        <v>1285</v>
      </c>
      <c r="B320" s="109">
        <v>85</v>
      </c>
      <c r="C320" s="242">
        <v>9.1012000000000004</v>
      </c>
      <c r="D320" s="243">
        <v>10.7583</v>
      </c>
      <c r="E320" s="243">
        <v>13.266999999999999</v>
      </c>
      <c r="F320" s="243">
        <v>13.866400000000001</v>
      </c>
      <c r="G320" s="243">
        <v>12.3865</v>
      </c>
      <c r="H320" s="243">
        <v>11.332700000000001</v>
      </c>
      <c r="I320" s="243">
        <v>13.174799999999999</v>
      </c>
      <c r="J320" s="243">
        <v>12.5883</v>
      </c>
      <c r="K320" s="243">
        <v>12.7776</v>
      </c>
      <c r="L320" s="243">
        <v>11.090999999999999</v>
      </c>
      <c r="M320" s="243">
        <v>9.5235000000000003</v>
      </c>
      <c r="N320" s="244">
        <v>8.3120999999999992</v>
      </c>
      <c r="O320" s="245">
        <v>11.517200000000001</v>
      </c>
    </row>
    <row r="321" spans="1:16" x14ac:dyDescent="0.2">
      <c r="A321" s="40">
        <f t="shared" si="53"/>
        <v>1290</v>
      </c>
      <c r="B321" s="40">
        <v>90</v>
      </c>
    </row>
    <row r="322" spans="1:16" x14ac:dyDescent="0.2">
      <c r="A322" s="40">
        <f t="shared" si="53"/>
        <v>1291</v>
      </c>
      <c r="B322" s="40">
        <v>91</v>
      </c>
      <c r="C322" s="111">
        <f>T13</f>
        <v>24.55</v>
      </c>
      <c r="D322" s="111">
        <f t="shared" ref="D322:O322" si="54">U13</f>
        <v>23.5</v>
      </c>
      <c r="E322" s="111">
        <f t="shared" si="54"/>
        <v>21.25</v>
      </c>
      <c r="F322" s="111">
        <f t="shared" si="54"/>
        <v>17.600000000000001</v>
      </c>
      <c r="G322" s="111">
        <f t="shared" si="54"/>
        <v>14.350000000000001</v>
      </c>
      <c r="H322" s="111">
        <f t="shared" si="54"/>
        <v>11.3</v>
      </c>
      <c r="I322" s="111">
        <f t="shared" si="54"/>
        <v>11.45</v>
      </c>
      <c r="J322" s="111">
        <f t="shared" si="54"/>
        <v>12.5</v>
      </c>
      <c r="K322" s="111">
        <f t="shared" si="54"/>
        <v>14.25</v>
      </c>
      <c r="L322" s="111">
        <f t="shared" si="54"/>
        <v>17.149999999999999</v>
      </c>
      <c r="M322" s="111">
        <f t="shared" si="54"/>
        <v>20.100000000000001</v>
      </c>
      <c r="N322" s="111">
        <f t="shared" si="54"/>
        <v>22.950000000000003</v>
      </c>
      <c r="O322" s="111">
        <f t="shared" si="54"/>
        <v>17.600000000000001</v>
      </c>
      <c r="P322" s="344" t="s">
        <v>687</v>
      </c>
    </row>
    <row r="323" spans="1:16" x14ac:dyDescent="0.2">
      <c r="A323" s="40">
        <f t="shared" si="53"/>
        <v>1292</v>
      </c>
      <c r="B323" s="40">
        <v>92</v>
      </c>
      <c r="C323" s="343">
        <f>T37</f>
        <v>28.4</v>
      </c>
      <c r="D323" s="343">
        <f t="shared" ref="D323:O323" si="55">U37</f>
        <v>28.5</v>
      </c>
      <c r="E323" s="343">
        <f t="shared" si="55"/>
        <v>26.1</v>
      </c>
      <c r="F323" s="343">
        <f t="shared" si="55"/>
        <v>21.7</v>
      </c>
      <c r="G323" s="343">
        <f t="shared" si="55"/>
        <v>16.600000000000001</v>
      </c>
      <c r="H323" s="343">
        <f t="shared" si="55"/>
        <v>12</v>
      </c>
      <c r="I323" s="343">
        <f t="shared" si="55"/>
        <v>9.3000000000000007</v>
      </c>
      <c r="J323" s="343">
        <f t="shared" si="55"/>
        <v>9.1999999999999993</v>
      </c>
      <c r="K323" s="343">
        <f t="shared" si="55"/>
        <v>11.7</v>
      </c>
      <c r="L323" s="343">
        <f t="shared" si="55"/>
        <v>16.100000000000001</v>
      </c>
      <c r="M323" s="343">
        <f t="shared" si="55"/>
        <v>21.3</v>
      </c>
      <c r="N323" s="343">
        <f t="shared" si="55"/>
        <v>25.8</v>
      </c>
      <c r="O323" s="343">
        <f t="shared" si="55"/>
        <v>0</v>
      </c>
    </row>
    <row r="325" spans="1:16" ht="15" x14ac:dyDescent="0.25">
      <c r="B325" s="247" t="s">
        <v>655</v>
      </c>
      <c r="C325" s="246"/>
      <c r="D325" s="246"/>
      <c r="E325" s="246"/>
      <c r="F325" s="246"/>
      <c r="G325" s="957" t="s">
        <v>613</v>
      </c>
      <c r="H325" s="957"/>
      <c r="I325" s="957"/>
      <c r="J325" s="957"/>
      <c r="K325" s="957"/>
      <c r="L325" s="957"/>
      <c r="M325" s="957"/>
      <c r="N325" s="957"/>
      <c r="O325" s="131">
        <v>13</v>
      </c>
    </row>
    <row r="326" spans="1:16" ht="14.25" x14ac:dyDescent="0.2">
      <c r="B326" s="246" t="s">
        <v>614</v>
      </c>
      <c r="C326" s="246" t="s">
        <v>656</v>
      </c>
      <c r="D326" s="246" t="s">
        <v>616</v>
      </c>
      <c r="E326" s="246" t="s">
        <v>657</v>
      </c>
      <c r="F326" s="246"/>
      <c r="G326" s="958" t="s">
        <v>618</v>
      </c>
      <c r="H326" s="958"/>
      <c r="I326" s="958"/>
      <c r="J326" s="958"/>
      <c r="K326" s="958"/>
      <c r="L326" s="958"/>
      <c r="M326" s="958"/>
      <c r="N326" s="958"/>
      <c r="O326" s="958"/>
    </row>
    <row r="327" spans="1:16" ht="15" x14ac:dyDescent="0.25">
      <c r="B327" s="248" t="s">
        <v>619</v>
      </c>
      <c r="C327" s="91" t="s">
        <v>4</v>
      </c>
      <c r="D327" s="91" t="s">
        <v>5</v>
      </c>
      <c r="E327" s="91" t="s">
        <v>6</v>
      </c>
      <c r="F327" s="91" t="s">
        <v>7</v>
      </c>
      <c r="G327" s="91" t="s">
        <v>8</v>
      </c>
      <c r="H327" s="91" t="s">
        <v>9</v>
      </c>
      <c r="I327" s="91" t="s">
        <v>10</v>
      </c>
      <c r="J327" s="91" t="s">
        <v>11</v>
      </c>
      <c r="K327" s="91" t="s">
        <v>12</v>
      </c>
      <c r="L327" s="91" t="s">
        <v>13</v>
      </c>
      <c r="M327" s="91" t="s">
        <v>14</v>
      </c>
      <c r="N327" s="91" t="s">
        <v>15</v>
      </c>
      <c r="O327" s="249" t="s">
        <v>620</v>
      </c>
    </row>
    <row r="328" spans="1:16" ht="15" x14ac:dyDescent="0.25">
      <c r="A328" s="40">
        <f>O$325*100+B328</f>
        <v>1300</v>
      </c>
      <c r="B328" s="108">
        <v>0</v>
      </c>
      <c r="C328" s="250">
        <v>25.517700000000001</v>
      </c>
      <c r="D328" s="251">
        <v>21.701000000000001</v>
      </c>
      <c r="E328" s="251">
        <v>18.010000000000002</v>
      </c>
      <c r="F328" s="251">
        <v>13.961600000000001</v>
      </c>
      <c r="G328" s="251">
        <v>10.1622</v>
      </c>
      <c r="H328" s="251">
        <v>8.1306999999999992</v>
      </c>
      <c r="I328" s="251">
        <v>9.3537999999999997</v>
      </c>
      <c r="J328" s="251">
        <v>11.3619</v>
      </c>
      <c r="K328" s="251">
        <v>14.598699999999999</v>
      </c>
      <c r="L328" s="251">
        <v>18.922499999999999</v>
      </c>
      <c r="M328" s="251">
        <v>23.497599999999998</v>
      </c>
      <c r="N328" s="252">
        <v>25.467700000000001</v>
      </c>
      <c r="O328" s="253">
        <v>16.7012</v>
      </c>
    </row>
    <row r="329" spans="1:16" ht="15" x14ac:dyDescent="0.25">
      <c r="A329" s="40">
        <f t="shared" ref="A329:A348" si="56">O$325*100+B329</f>
        <v>1305</v>
      </c>
      <c r="B329" s="108">
        <v>5</v>
      </c>
      <c r="C329" s="250">
        <v>25.51</v>
      </c>
      <c r="D329" s="251">
        <v>21.986000000000001</v>
      </c>
      <c r="E329" s="251">
        <v>18.591799999999999</v>
      </c>
      <c r="F329" s="251">
        <v>14.761200000000001</v>
      </c>
      <c r="G329" s="251">
        <v>10.9237</v>
      </c>
      <c r="H329" s="251">
        <v>8.7827000000000002</v>
      </c>
      <c r="I329" s="251">
        <v>10.1751</v>
      </c>
      <c r="J329" s="251">
        <v>12.076499999999999</v>
      </c>
      <c r="K329" s="251">
        <v>15.2003</v>
      </c>
      <c r="L329" s="251">
        <v>19.3066</v>
      </c>
      <c r="M329" s="251">
        <v>23.6066</v>
      </c>
      <c r="N329" s="252">
        <v>25.3904</v>
      </c>
      <c r="O329" s="253">
        <v>17.1708</v>
      </c>
    </row>
    <row r="330" spans="1:16" ht="15" x14ac:dyDescent="0.25">
      <c r="A330" s="40">
        <f t="shared" si="56"/>
        <v>1310</v>
      </c>
      <c r="B330" s="108">
        <v>10</v>
      </c>
      <c r="C330" s="250">
        <v>25.346599999999999</v>
      </c>
      <c r="D330" s="251">
        <v>22.140699999999999</v>
      </c>
      <c r="E330" s="251">
        <v>19.063800000000001</v>
      </c>
      <c r="F330" s="251">
        <v>15.4735</v>
      </c>
      <c r="G330" s="251">
        <v>11.623200000000001</v>
      </c>
      <c r="H330" s="251">
        <v>9.3866999999999994</v>
      </c>
      <c r="I330" s="251">
        <v>10.9373</v>
      </c>
      <c r="J330" s="251">
        <v>12.722</v>
      </c>
      <c r="K330" s="251">
        <v>15.7135</v>
      </c>
      <c r="L330" s="251">
        <v>19.575700000000001</v>
      </c>
      <c r="M330" s="251">
        <v>23.5716</v>
      </c>
      <c r="N330" s="252">
        <v>25.159300000000002</v>
      </c>
      <c r="O330" s="253">
        <v>17.538499999999999</v>
      </c>
    </row>
    <row r="331" spans="1:16" ht="15" x14ac:dyDescent="0.25">
      <c r="A331" s="40">
        <f t="shared" si="56"/>
        <v>1315</v>
      </c>
      <c r="B331" s="108">
        <v>15</v>
      </c>
      <c r="C331" s="250">
        <v>25.028700000000001</v>
      </c>
      <c r="D331" s="251">
        <v>22.163799999999998</v>
      </c>
      <c r="E331" s="251">
        <v>19.4223</v>
      </c>
      <c r="F331" s="251">
        <v>16.0932</v>
      </c>
      <c r="G331" s="251">
        <v>12.2553</v>
      </c>
      <c r="H331" s="251">
        <v>9.9381000000000004</v>
      </c>
      <c r="I331" s="251">
        <v>11.6348</v>
      </c>
      <c r="J331" s="251">
        <v>13.2935</v>
      </c>
      <c r="K331" s="251">
        <v>16.1343</v>
      </c>
      <c r="L331" s="251">
        <v>19.727699999999999</v>
      </c>
      <c r="M331" s="251">
        <v>23.393000000000001</v>
      </c>
      <c r="N331" s="252">
        <v>24.776199999999999</v>
      </c>
      <c r="O331" s="253">
        <v>17.8017</v>
      </c>
    </row>
    <row r="332" spans="1:16" ht="15" x14ac:dyDescent="0.25">
      <c r="A332" s="40">
        <f t="shared" si="56"/>
        <v>1320</v>
      </c>
      <c r="B332" s="108">
        <v>20</v>
      </c>
      <c r="C332" s="250">
        <v>24.558900000000001</v>
      </c>
      <c r="D332" s="251">
        <v>22.055099999999999</v>
      </c>
      <c r="E332" s="251">
        <v>19.6646</v>
      </c>
      <c r="F332" s="251">
        <v>16.615500000000001</v>
      </c>
      <c r="G332" s="251">
        <v>12.815099999999999</v>
      </c>
      <c r="H332" s="251">
        <v>10.4328</v>
      </c>
      <c r="I332" s="251">
        <v>12.262</v>
      </c>
      <c r="J332" s="251">
        <v>13.7867</v>
      </c>
      <c r="K332" s="251">
        <v>16.459399999999999</v>
      </c>
      <c r="L332" s="251">
        <v>19.761500000000002</v>
      </c>
      <c r="M332" s="251">
        <v>23.072099999999999</v>
      </c>
      <c r="N332" s="252">
        <v>24.244</v>
      </c>
      <c r="O332" s="253">
        <v>17.958400000000001</v>
      </c>
    </row>
    <row r="333" spans="1:16" ht="15" x14ac:dyDescent="0.25">
      <c r="A333" s="40">
        <f t="shared" si="56"/>
        <v>1325</v>
      </c>
      <c r="B333" s="108">
        <v>25</v>
      </c>
      <c r="C333" s="254">
        <v>23.944400000000002</v>
      </c>
      <c r="D333" s="255">
        <v>21.8154</v>
      </c>
      <c r="E333" s="255">
        <v>19.788799999999998</v>
      </c>
      <c r="F333" s="255">
        <v>17.0364</v>
      </c>
      <c r="G333" s="255">
        <v>13.298500000000001</v>
      </c>
      <c r="H333" s="255">
        <v>10.867000000000001</v>
      </c>
      <c r="I333" s="255">
        <v>12.814399999999999</v>
      </c>
      <c r="J333" s="255">
        <v>14.197900000000001</v>
      </c>
      <c r="K333" s="255">
        <v>16.686499999999999</v>
      </c>
      <c r="L333" s="255">
        <v>19.6768</v>
      </c>
      <c r="M333" s="255">
        <v>22.6114</v>
      </c>
      <c r="N333" s="256">
        <v>23.566700000000001</v>
      </c>
      <c r="O333" s="257">
        <v>18.0076</v>
      </c>
    </row>
    <row r="334" spans="1:16" ht="15" x14ac:dyDescent="0.25">
      <c r="A334" s="40">
        <f t="shared" si="56"/>
        <v>1330</v>
      </c>
      <c r="B334" s="108">
        <v>30</v>
      </c>
      <c r="C334" s="250">
        <v>23.200299999999999</v>
      </c>
      <c r="D334" s="251">
        <v>21.4467</v>
      </c>
      <c r="E334" s="251">
        <v>19.794</v>
      </c>
      <c r="F334" s="251">
        <v>17.352799999999998</v>
      </c>
      <c r="G334" s="251">
        <v>13.701700000000001</v>
      </c>
      <c r="H334" s="251">
        <v>11.237299999999999</v>
      </c>
      <c r="I334" s="251">
        <v>13.287699999999999</v>
      </c>
      <c r="J334" s="251">
        <v>14.5238</v>
      </c>
      <c r="K334" s="251">
        <v>16.813800000000001</v>
      </c>
      <c r="L334" s="251">
        <v>19.4742</v>
      </c>
      <c r="M334" s="251">
        <v>22.014299999999999</v>
      </c>
      <c r="N334" s="252">
        <v>22.749600000000001</v>
      </c>
      <c r="O334" s="253">
        <v>17.9499</v>
      </c>
    </row>
    <row r="335" spans="1:16" ht="15" x14ac:dyDescent="0.25">
      <c r="A335" s="40">
        <f t="shared" si="56"/>
        <v>1335</v>
      </c>
      <c r="B335" s="108">
        <v>35</v>
      </c>
      <c r="C335" s="250">
        <v>22.3184</v>
      </c>
      <c r="D335" s="251">
        <v>20.951599999999999</v>
      </c>
      <c r="E335" s="251">
        <v>19.680099999999999</v>
      </c>
      <c r="F335" s="251">
        <v>17.562200000000001</v>
      </c>
      <c r="G335" s="251">
        <v>14.021699999999999</v>
      </c>
      <c r="H335" s="251">
        <v>11.5411</v>
      </c>
      <c r="I335" s="251">
        <v>13.6782</v>
      </c>
      <c r="J335" s="251">
        <v>14.7621</v>
      </c>
      <c r="K335" s="251">
        <v>16.840299999999999</v>
      </c>
      <c r="L335" s="251">
        <v>19.1553</v>
      </c>
      <c r="M335" s="251">
        <v>21.285399999999999</v>
      </c>
      <c r="N335" s="252">
        <v>21.7987</v>
      </c>
      <c r="O335" s="253">
        <v>17.784600000000001</v>
      </c>
    </row>
    <row r="336" spans="1:16" ht="15" x14ac:dyDescent="0.25">
      <c r="A336" s="40">
        <f t="shared" si="56"/>
        <v>1340</v>
      </c>
      <c r="B336" s="108">
        <v>40</v>
      </c>
      <c r="C336" s="250">
        <v>21.317299999999999</v>
      </c>
      <c r="D336" s="251">
        <v>20.339700000000001</v>
      </c>
      <c r="E336" s="251">
        <v>19.4481</v>
      </c>
      <c r="F336" s="251">
        <v>17.6631</v>
      </c>
      <c r="G336" s="251">
        <v>14.256</v>
      </c>
      <c r="H336" s="251">
        <v>11.7758</v>
      </c>
      <c r="I336" s="251">
        <v>13.982200000000001</v>
      </c>
      <c r="J336" s="251">
        <v>14.9108</v>
      </c>
      <c r="K336" s="251">
        <v>16.765799999999999</v>
      </c>
      <c r="L336" s="251">
        <v>18.7225</v>
      </c>
      <c r="M336" s="251">
        <v>20.430199999999999</v>
      </c>
      <c r="N336" s="252">
        <v>20.721399999999999</v>
      </c>
      <c r="O336" s="253">
        <v>17.514199999999999</v>
      </c>
    </row>
    <row r="337" spans="1:16" ht="15" x14ac:dyDescent="0.25">
      <c r="A337" s="40">
        <f t="shared" si="56"/>
        <v>1345</v>
      </c>
      <c r="B337" s="108">
        <v>45</v>
      </c>
      <c r="C337" s="250">
        <v>20.217199999999998</v>
      </c>
      <c r="D337" s="251">
        <v>19.611799999999999</v>
      </c>
      <c r="E337" s="251">
        <v>19.099699999999999</v>
      </c>
      <c r="F337" s="251">
        <v>17.654699999999998</v>
      </c>
      <c r="G337" s="251">
        <v>14.402699999999999</v>
      </c>
      <c r="H337" s="251">
        <v>11.9398</v>
      </c>
      <c r="I337" s="251">
        <v>14.193300000000001</v>
      </c>
      <c r="J337" s="251">
        <v>14.9689</v>
      </c>
      <c r="K337" s="251">
        <v>16.591000000000001</v>
      </c>
      <c r="L337" s="251">
        <v>18.179099999999998</v>
      </c>
      <c r="M337" s="251">
        <v>19.455300000000001</v>
      </c>
      <c r="N337" s="252">
        <v>19.535299999999999</v>
      </c>
      <c r="O337" s="253">
        <v>17.141999999999999</v>
      </c>
    </row>
    <row r="338" spans="1:16" ht="15" x14ac:dyDescent="0.25">
      <c r="A338" s="40">
        <f t="shared" si="56"/>
        <v>1350</v>
      </c>
      <c r="B338" s="108">
        <v>50</v>
      </c>
      <c r="C338" s="250">
        <v>19.002500000000001</v>
      </c>
      <c r="D338" s="251">
        <v>18.7715</v>
      </c>
      <c r="E338" s="251">
        <v>18.637499999999999</v>
      </c>
      <c r="F338" s="251">
        <v>17.536999999999999</v>
      </c>
      <c r="G338" s="251">
        <v>14.459300000000001</v>
      </c>
      <c r="H338" s="251">
        <v>12.0318</v>
      </c>
      <c r="I338" s="251">
        <v>14.3124</v>
      </c>
      <c r="J338" s="251">
        <v>14.936</v>
      </c>
      <c r="K338" s="251">
        <v>16.317</v>
      </c>
      <c r="L338" s="251">
        <v>17.529299999999999</v>
      </c>
      <c r="M338" s="251">
        <v>18.369599999999998</v>
      </c>
      <c r="N338" s="252">
        <v>18.266100000000002</v>
      </c>
      <c r="O338" s="253">
        <v>16.670400000000001</v>
      </c>
    </row>
    <row r="339" spans="1:16" ht="15" x14ac:dyDescent="0.25">
      <c r="A339" s="40">
        <f t="shared" si="56"/>
        <v>1355</v>
      </c>
      <c r="B339" s="108">
        <v>55</v>
      </c>
      <c r="C339" s="250">
        <v>17.6816</v>
      </c>
      <c r="D339" s="251">
        <v>17.825299999999999</v>
      </c>
      <c r="E339" s="251">
        <v>18.065100000000001</v>
      </c>
      <c r="F339" s="251">
        <v>17.3109</v>
      </c>
      <c r="G339" s="251">
        <v>14.4262</v>
      </c>
      <c r="H339" s="251">
        <v>12.0511</v>
      </c>
      <c r="I339" s="251">
        <v>14.340400000000001</v>
      </c>
      <c r="J339" s="251">
        <v>14.812200000000001</v>
      </c>
      <c r="K339" s="251">
        <v>15.946099999999999</v>
      </c>
      <c r="L339" s="251">
        <v>16.777999999999999</v>
      </c>
      <c r="M339" s="251">
        <v>17.220400000000001</v>
      </c>
      <c r="N339" s="252">
        <v>16.940999999999999</v>
      </c>
      <c r="O339" s="253">
        <v>16.107800000000001</v>
      </c>
    </row>
    <row r="340" spans="1:16" ht="15" x14ac:dyDescent="0.25">
      <c r="A340" s="40">
        <f t="shared" si="56"/>
        <v>1360</v>
      </c>
      <c r="B340" s="108">
        <v>60</v>
      </c>
      <c r="C340" s="250">
        <v>16.278300000000002</v>
      </c>
      <c r="D340" s="251">
        <v>16.7803</v>
      </c>
      <c r="E340" s="251">
        <v>17.386700000000001</v>
      </c>
      <c r="F340" s="251">
        <v>16.978200000000001</v>
      </c>
      <c r="G340" s="251">
        <v>14.304399999999999</v>
      </c>
      <c r="H340" s="251">
        <v>11.9976</v>
      </c>
      <c r="I340" s="251">
        <v>14.2788</v>
      </c>
      <c r="J340" s="251">
        <v>14.598599999999999</v>
      </c>
      <c r="K340" s="251">
        <v>15.481</v>
      </c>
      <c r="L340" s="251">
        <v>15.933999999999999</v>
      </c>
      <c r="M340" s="251">
        <v>15.9969</v>
      </c>
      <c r="N340" s="252">
        <v>15.5503</v>
      </c>
      <c r="O340" s="253">
        <v>15.456799999999999</v>
      </c>
    </row>
    <row r="341" spans="1:16" ht="15" x14ac:dyDescent="0.25">
      <c r="A341" s="40">
        <f t="shared" si="56"/>
        <v>1365</v>
      </c>
      <c r="B341" s="108">
        <v>65</v>
      </c>
      <c r="C341" s="250">
        <v>14.814</v>
      </c>
      <c r="D341" s="251">
        <v>15.644500000000001</v>
      </c>
      <c r="E341" s="251">
        <v>16.607700000000001</v>
      </c>
      <c r="F341" s="251">
        <v>16.541399999999999</v>
      </c>
      <c r="G341" s="251">
        <v>14.0953</v>
      </c>
      <c r="H341" s="251">
        <v>11.871700000000001</v>
      </c>
      <c r="I341" s="251">
        <v>14.1286</v>
      </c>
      <c r="J341" s="251">
        <v>14.2967</v>
      </c>
      <c r="K341" s="251">
        <v>14.9253</v>
      </c>
      <c r="L341" s="251">
        <v>15.005000000000001</v>
      </c>
      <c r="M341" s="251">
        <v>14.6981</v>
      </c>
      <c r="N341" s="252">
        <v>14.0808</v>
      </c>
      <c r="O341" s="253">
        <v>14.720599999999999</v>
      </c>
    </row>
    <row r="342" spans="1:16" ht="15" x14ac:dyDescent="0.25">
      <c r="A342" s="40">
        <f t="shared" si="56"/>
        <v>1370</v>
      </c>
      <c r="B342" s="108">
        <v>70</v>
      </c>
      <c r="C342" s="250">
        <v>13.302099999999999</v>
      </c>
      <c r="D342" s="251">
        <v>14.427899999999999</v>
      </c>
      <c r="E342" s="251">
        <v>15.7339</v>
      </c>
      <c r="F342" s="251">
        <v>16.003900000000002</v>
      </c>
      <c r="G342" s="251">
        <v>13.800800000000001</v>
      </c>
      <c r="H342" s="251">
        <v>11.674300000000001</v>
      </c>
      <c r="I342" s="251">
        <v>13.8916</v>
      </c>
      <c r="J342" s="251">
        <v>13.908799999999999</v>
      </c>
      <c r="K342" s="251">
        <v>14.283099999999999</v>
      </c>
      <c r="L342" s="251">
        <v>14.000400000000001</v>
      </c>
      <c r="M342" s="251">
        <v>13.325200000000001</v>
      </c>
      <c r="N342" s="252">
        <v>12.5466</v>
      </c>
      <c r="O342" s="253">
        <v>13.9049</v>
      </c>
    </row>
    <row r="343" spans="1:16" ht="15" x14ac:dyDescent="0.25">
      <c r="A343" s="40">
        <f t="shared" si="56"/>
        <v>1375</v>
      </c>
      <c r="B343" s="108">
        <v>75</v>
      </c>
      <c r="C343" s="250">
        <v>11.790800000000001</v>
      </c>
      <c r="D343" s="251">
        <v>13.15</v>
      </c>
      <c r="E343" s="251">
        <v>14.7719</v>
      </c>
      <c r="F343" s="251">
        <v>15.3696</v>
      </c>
      <c r="G343" s="251">
        <v>13.4232</v>
      </c>
      <c r="H343" s="251">
        <v>11.4069</v>
      </c>
      <c r="I343" s="251">
        <v>13.569699999999999</v>
      </c>
      <c r="J343" s="251">
        <v>13.438000000000001</v>
      </c>
      <c r="K343" s="251">
        <v>13.5595</v>
      </c>
      <c r="L343" s="251">
        <v>12.927300000000001</v>
      </c>
      <c r="M343" s="251">
        <v>11.886699999999999</v>
      </c>
      <c r="N343" s="252">
        <v>11.0123</v>
      </c>
      <c r="O343" s="253">
        <v>13.024100000000001</v>
      </c>
    </row>
    <row r="344" spans="1:16" ht="15" x14ac:dyDescent="0.25">
      <c r="A344" s="40">
        <f t="shared" si="56"/>
        <v>1380</v>
      </c>
      <c r="B344" s="108">
        <v>80</v>
      </c>
      <c r="C344" s="250">
        <v>10.2471</v>
      </c>
      <c r="D344" s="251">
        <v>11.831099999999999</v>
      </c>
      <c r="E344" s="251">
        <v>13.729100000000001</v>
      </c>
      <c r="F344" s="251">
        <v>14.6435</v>
      </c>
      <c r="G344" s="251">
        <v>12.965400000000001</v>
      </c>
      <c r="H344" s="251">
        <v>11.0715</v>
      </c>
      <c r="I344" s="251">
        <v>13.1653</v>
      </c>
      <c r="J344" s="251">
        <v>12.887700000000001</v>
      </c>
      <c r="K344" s="251">
        <v>12.7598</v>
      </c>
      <c r="L344" s="251">
        <v>11.791499999999999</v>
      </c>
      <c r="M344" s="251">
        <v>10.432499999999999</v>
      </c>
      <c r="N344" s="252">
        <v>9.5493000000000006</v>
      </c>
      <c r="O344" s="253">
        <v>12.0901</v>
      </c>
    </row>
    <row r="345" spans="1:16" ht="15" x14ac:dyDescent="0.25">
      <c r="A345" s="40">
        <f t="shared" si="56"/>
        <v>1385</v>
      </c>
      <c r="B345" s="109">
        <v>85</v>
      </c>
      <c r="C345" s="258">
        <v>8.7136999999999993</v>
      </c>
      <c r="D345" s="259">
        <v>10.4794</v>
      </c>
      <c r="E345" s="259">
        <v>12.6134</v>
      </c>
      <c r="F345" s="259">
        <v>13.831</v>
      </c>
      <c r="G345" s="259">
        <v>12.4305</v>
      </c>
      <c r="H345" s="259">
        <v>10.6708</v>
      </c>
      <c r="I345" s="259">
        <v>12.681100000000001</v>
      </c>
      <c r="J345" s="259">
        <v>12.2622</v>
      </c>
      <c r="K345" s="259">
        <v>11.8903</v>
      </c>
      <c r="L345" s="259">
        <v>10.6</v>
      </c>
      <c r="M345" s="259">
        <v>8.9986999999999995</v>
      </c>
      <c r="N345" s="260">
        <v>8.07</v>
      </c>
      <c r="O345" s="261">
        <v>11.1059</v>
      </c>
    </row>
    <row r="346" spans="1:16" x14ac:dyDescent="0.2">
      <c r="A346" s="40">
        <f t="shared" si="56"/>
        <v>1390</v>
      </c>
      <c r="B346" s="40">
        <v>90</v>
      </c>
    </row>
    <row r="347" spans="1:16" x14ac:dyDescent="0.2">
      <c r="A347" s="40">
        <f t="shared" si="56"/>
        <v>1391</v>
      </c>
      <c r="B347" s="40">
        <v>91</v>
      </c>
      <c r="C347" s="107">
        <f>T14</f>
        <v>24.1</v>
      </c>
      <c r="D347" s="107">
        <f t="shared" ref="D347:O347" si="57">U14</f>
        <v>23.5</v>
      </c>
      <c r="E347" s="107">
        <f t="shared" si="57"/>
        <v>21.6</v>
      </c>
      <c r="F347" s="107">
        <f t="shared" si="57"/>
        <v>18.100000000000001</v>
      </c>
      <c r="G347" s="107">
        <f t="shared" si="57"/>
        <v>15.3</v>
      </c>
      <c r="H347" s="107">
        <f t="shared" si="57"/>
        <v>12.3</v>
      </c>
      <c r="I347" s="107">
        <f t="shared" si="57"/>
        <v>12.3</v>
      </c>
      <c r="J347" s="107">
        <f t="shared" si="57"/>
        <v>13.4</v>
      </c>
      <c r="K347" s="107">
        <f t="shared" si="57"/>
        <v>15</v>
      </c>
      <c r="L347" s="107">
        <f t="shared" si="57"/>
        <v>17.899999999999999</v>
      </c>
      <c r="M347" s="107">
        <f t="shared" si="57"/>
        <v>20.5</v>
      </c>
      <c r="N347" s="107">
        <f t="shared" si="57"/>
        <v>22.8</v>
      </c>
      <c r="O347" s="107">
        <f t="shared" si="57"/>
        <v>18.100000000000001</v>
      </c>
      <c r="P347" s="41" t="s">
        <v>586</v>
      </c>
    </row>
    <row r="348" spans="1:16" x14ac:dyDescent="0.2">
      <c r="A348" s="40">
        <f t="shared" si="56"/>
        <v>1392</v>
      </c>
      <c r="B348" s="40">
        <v>92</v>
      </c>
      <c r="C348" s="343">
        <f>T38</f>
        <v>28.4</v>
      </c>
      <c r="D348" s="343">
        <f t="shared" ref="D348:O348" si="58">U38</f>
        <v>28.5</v>
      </c>
      <c r="E348" s="343">
        <f t="shared" si="58"/>
        <v>26.1</v>
      </c>
      <c r="F348" s="343">
        <f t="shared" si="58"/>
        <v>21.7</v>
      </c>
      <c r="G348" s="343">
        <f t="shared" si="58"/>
        <v>16.600000000000001</v>
      </c>
      <c r="H348" s="343">
        <f t="shared" si="58"/>
        <v>12</v>
      </c>
      <c r="I348" s="343">
        <f t="shared" si="58"/>
        <v>9.3000000000000007</v>
      </c>
      <c r="J348" s="343">
        <f t="shared" si="58"/>
        <v>9.1999999999999993</v>
      </c>
      <c r="K348" s="343">
        <f t="shared" si="58"/>
        <v>11.7</v>
      </c>
      <c r="L348" s="343">
        <f t="shared" si="58"/>
        <v>16.100000000000001</v>
      </c>
      <c r="M348" s="343">
        <f t="shared" si="58"/>
        <v>21.3</v>
      </c>
      <c r="N348" s="343">
        <f t="shared" si="58"/>
        <v>25.8</v>
      </c>
      <c r="O348" s="343">
        <f t="shared" si="58"/>
        <v>0</v>
      </c>
    </row>
    <row r="350" spans="1:16" ht="15" x14ac:dyDescent="0.25">
      <c r="B350" s="263" t="s">
        <v>658</v>
      </c>
      <c r="C350" s="262"/>
      <c r="D350" s="262"/>
      <c r="E350" s="262"/>
      <c r="F350" s="262"/>
      <c r="G350" s="957" t="s">
        <v>613</v>
      </c>
      <c r="H350" s="957"/>
      <c r="I350" s="957"/>
      <c r="J350" s="957"/>
      <c r="K350" s="957"/>
      <c r="L350" s="957"/>
      <c r="M350" s="957"/>
      <c r="N350" s="957"/>
      <c r="O350" s="131">
        <v>14</v>
      </c>
    </row>
    <row r="351" spans="1:16" ht="14.25" x14ac:dyDescent="0.2">
      <c r="B351" s="262" t="s">
        <v>614</v>
      </c>
      <c r="C351" s="262" t="s">
        <v>640</v>
      </c>
      <c r="D351" s="262" t="s">
        <v>616</v>
      </c>
      <c r="E351" s="262" t="s">
        <v>659</v>
      </c>
      <c r="F351" s="262"/>
      <c r="G351" s="958" t="s">
        <v>618</v>
      </c>
      <c r="H351" s="958"/>
      <c r="I351" s="958"/>
      <c r="J351" s="958"/>
      <c r="K351" s="958"/>
      <c r="L351" s="958"/>
      <c r="M351" s="958"/>
      <c r="N351" s="958"/>
      <c r="O351" s="958"/>
    </row>
    <row r="352" spans="1:16" ht="15" x14ac:dyDescent="0.25">
      <c r="B352" s="264" t="s">
        <v>619</v>
      </c>
      <c r="C352" s="91" t="s">
        <v>4</v>
      </c>
      <c r="D352" s="91" t="s">
        <v>5</v>
      </c>
      <c r="E352" s="91" t="s">
        <v>6</v>
      </c>
      <c r="F352" s="91" t="s">
        <v>7</v>
      </c>
      <c r="G352" s="91" t="s">
        <v>8</v>
      </c>
      <c r="H352" s="91" t="s">
        <v>9</v>
      </c>
      <c r="I352" s="91" t="s">
        <v>10</v>
      </c>
      <c r="J352" s="91" t="s">
        <v>11</v>
      </c>
      <c r="K352" s="91" t="s">
        <v>12</v>
      </c>
      <c r="L352" s="91" t="s">
        <v>13</v>
      </c>
      <c r="M352" s="91" t="s">
        <v>14</v>
      </c>
      <c r="N352" s="91" t="s">
        <v>15</v>
      </c>
      <c r="O352" s="265" t="s">
        <v>620</v>
      </c>
    </row>
    <row r="353" spans="1:15" ht="15" x14ac:dyDescent="0.25">
      <c r="A353" s="40">
        <f>O$350*100+B353</f>
        <v>1400</v>
      </c>
      <c r="B353" s="108">
        <v>0</v>
      </c>
      <c r="C353" s="266">
        <v>25.488800000000001</v>
      </c>
      <c r="D353" s="267">
        <v>21.0151</v>
      </c>
      <c r="E353" s="267">
        <v>17.356300000000001</v>
      </c>
      <c r="F353" s="267">
        <v>13.2133</v>
      </c>
      <c r="G353" s="267">
        <v>9.3804999999999996</v>
      </c>
      <c r="H353" s="267">
        <v>7.6931000000000003</v>
      </c>
      <c r="I353" s="267">
        <v>8.4487000000000005</v>
      </c>
      <c r="J353" s="267">
        <v>10.413399999999999</v>
      </c>
      <c r="K353" s="267">
        <v>14.0235</v>
      </c>
      <c r="L353" s="267">
        <v>18.5654</v>
      </c>
      <c r="M353" s="267">
        <v>23.162700000000001</v>
      </c>
      <c r="N353" s="268">
        <v>25.154800000000002</v>
      </c>
      <c r="O353" s="269">
        <v>16.137599999999999</v>
      </c>
    </row>
    <row r="354" spans="1:15" ht="15" x14ac:dyDescent="0.25">
      <c r="A354" s="40">
        <f t="shared" ref="A354:A373" si="59">O$350*100+B354</f>
        <v>1405</v>
      </c>
      <c r="B354" s="108">
        <v>5</v>
      </c>
      <c r="C354" s="266">
        <v>25.557200000000002</v>
      </c>
      <c r="D354" s="267">
        <v>21.325700000000001</v>
      </c>
      <c r="E354" s="267">
        <v>17.950500000000002</v>
      </c>
      <c r="F354" s="267">
        <v>14.014099999999999</v>
      </c>
      <c r="G354" s="267">
        <v>10.095700000000001</v>
      </c>
      <c r="H354" s="267">
        <v>8.3880999999999997</v>
      </c>
      <c r="I354" s="267">
        <v>9.1880000000000006</v>
      </c>
      <c r="J354" s="267">
        <v>11.090999999999999</v>
      </c>
      <c r="K354" s="267">
        <v>14.6244</v>
      </c>
      <c r="L354" s="267">
        <v>18.982600000000001</v>
      </c>
      <c r="M354" s="267">
        <v>23.3248</v>
      </c>
      <c r="N354" s="268">
        <v>25.151299999999999</v>
      </c>
      <c r="O354" s="269">
        <v>16.619599999999998</v>
      </c>
    </row>
    <row r="355" spans="1:15" ht="15" x14ac:dyDescent="0.25">
      <c r="A355" s="40">
        <f t="shared" si="59"/>
        <v>1410</v>
      </c>
      <c r="B355" s="108">
        <v>10</v>
      </c>
      <c r="C355" s="266">
        <v>25.471399999999999</v>
      </c>
      <c r="D355" s="267">
        <v>21.511800000000001</v>
      </c>
      <c r="E355" s="267">
        <v>18.4406</v>
      </c>
      <c r="F355" s="267">
        <v>14.7334</v>
      </c>
      <c r="G355" s="267">
        <v>10.755000000000001</v>
      </c>
      <c r="H355" s="267">
        <v>9.0368999999999993</v>
      </c>
      <c r="I355" s="267">
        <v>9.8757000000000001</v>
      </c>
      <c r="J355" s="267">
        <v>11.7067</v>
      </c>
      <c r="K355" s="267">
        <v>15.1419</v>
      </c>
      <c r="L355" s="267">
        <v>19.289000000000001</v>
      </c>
      <c r="M355" s="267">
        <v>23.347799999999999</v>
      </c>
      <c r="N355" s="268">
        <v>24.997699999999998</v>
      </c>
      <c r="O355" s="269">
        <v>17.004799999999999</v>
      </c>
    </row>
    <row r="356" spans="1:15" ht="15" x14ac:dyDescent="0.25">
      <c r="A356" s="40">
        <f t="shared" si="59"/>
        <v>1415</v>
      </c>
      <c r="B356" s="108">
        <v>15</v>
      </c>
      <c r="C356" s="266">
        <v>25.2319</v>
      </c>
      <c r="D356" s="267">
        <v>21.571999999999999</v>
      </c>
      <c r="E356" s="267">
        <v>18.822700000000001</v>
      </c>
      <c r="F356" s="267">
        <v>15.365600000000001</v>
      </c>
      <c r="G356" s="267">
        <v>11.353199999999999</v>
      </c>
      <c r="H356" s="267">
        <v>9.6344999999999992</v>
      </c>
      <c r="I356" s="267">
        <v>10.5067</v>
      </c>
      <c r="J356" s="267">
        <v>12.255599999999999</v>
      </c>
      <c r="K356" s="267">
        <v>15.571999999999999</v>
      </c>
      <c r="L356" s="267">
        <v>19.482099999999999</v>
      </c>
      <c r="M356" s="267">
        <v>23.2317</v>
      </c>
      <c r="N356" s="268">
        <v>24.6952</v>
      </c>
      <c r="O356" s="269">
        <v>17.290099999999999</v>
      </c>
    </row>
    <row r="357" spans="1:15" ht="15" x14ac:dyDescent="0.25">
      <c r="A357" s="40">
        <f t="shared" si="59"/>
        <v>1420</v>
      </c>
      <c r="B357" s="108">
        <v>20</v>
      </c>
      <c r="C357" s="266">
        <v>24.840699999999998</v>
      </c>
      <c r="D357" s="267">
        <v>21.505800000000001</v>
      </c>
      <c r="E357" s="267">
        <v>19.094000000000001</v>
      </c>
      <c r="F357" s="267">
        <v>15.9061</v>
      </c>
      <c r="G357" s="267">
        <v>11.8858</v>
      </c>
      <c r="H357" s="267">
        <v>10.176299999999999</v>
      </c>
      <c r="I357" s="267">
        <v>11.0761</v>
      </c>
      <c r="J357" s="267">
        <v>12.733700000000001</v>
      </c>
      <c r="K357" s="267">
        <v>15.9115</v>
      </c>
      <c r="L357" s="267">
        <v>19.560600000000001</v>
      </c>
      <c r="M357" s="267">
        <v>22.9772</v>
      </c>
      <c r="N357" s="268">
        <v>24.246099999999998</v>
      </c>
      <c r="O357" s="269">
        <v>17.473500000000001</v>
      </c>
    </row>
    <row r="358" spans="1:15" ht="15" x14ac:dyDescent="0.25">
      <c r="A358" s="40">
        <f t="shared" si="59"/>
        <v>1425</v>
      </c>
      <c r="B358" s="108">
        <v>25</v>
      </c>
      <c r="C358" s="270">
        <v>24.3048</v>
      </c>
      <c r="D358" s="271">
        <v>21.313800000000001</v>
      </c>
      <c r="E358" s="271">
        <v>19.252400000000002</v>
      </c>
      <c r="F358" s="271">
        <v>16.3506</v>
      </c>
      <c r="G358" s="271">
        <v>12.348800000000001</v>
      </c>
      <c r="H358" s="271">
        <v>10.658300000000001</v>
      </c>
      <c r="I358" s="271">
        <v>11.579599999999999</v>
      </c>
      <c r="J358" s="271">
        <v>13.1372</v>
      </c>
      <c r="K358" s="271">
        <v>16.157800000000002</v>
      </c>
      <c r="L358" s="271">
        <v>19.523900000000001</v>
      </c>
      <c r="M358" s="271">
        <v>22.586200000000002</v>
      </c>
      <c r="N358" s="272">
        <v>23.6539</v>
      </c>
      <c r="O358" s="273">
        <v>17.553999999999998</v>
      </c>
    </row>
    <row r="359" spans="1:15" ht="15" x14ac:dyDescent="0.25">
      <c r="A359" s="40">
        <f t="shared" si="59"/>
        <v>1430</v>
      </c>
      <c r="B359" s="108">
        <v>30</v>
      </c>
      <c r="C359" s="266">
        <v>23.632999999999999</v>
      </c>
      <c r="D359" s="267">
        <v>20.997299999999999</v>
      </c>
      <c r="E359" s="267">
        <v>19.296800000000001</v>
      </c>
      <c r="F359" s="267">
        <v>16.695799999999998</v>
      </c>
      <c r="G359" s="267">
        <v>12.7387</v>
      </c>
      <c r="H359" s="267">
        <v>11.0768</v>
      </c>
      <c r="I359" s="267">
        <v>12.013299999999999</v>
      </c>
      <c r="J359" s="267">
        <v>13.463200000000001</v>
      </c>
      <c r="K359" s="267">
        <v>16.308900000000001</v>
      </c>
      <c r="L359" s="267">
        <v>19.372199999999999</v>
      </c>
      <c r="M359" s="267">
        <v>22.061900000000001</v>
      </c>
      <c r="N359" s="268">
        <v>22.923100000000002</v>
      </c>
      <c r="O359" s="269">
        <v>17.531199999999998</v>
      </c>
    </row>
    <row r="360" spans="1:15" ht="15" x14ac:dyDescent="0.25">
      <c r="A360" s="40">
        <f t="shared" si="59"/>
        <v>1435</v>
      </c>
      <c r="B360" s="108">
        <v>35</v>
      </c>
      <c r="C360" s="266">
        <v>22.8216</v>
      </c>
      <c r="D360" s="267">
        <v>20.558900000000001</v>
      </c>
      <c r="E360" s="267">
        <v>19.226700000000001</v>
      </c>
      <c r="F360" s="267">
        <v>16.939</v>
      </c>
      <c r="G360" s="267">
        <v>13.0524</v>
      </c>
      <c r="H360" s="267">
        <v>11.428599999999999</v>
      </c>
      <c r="I360" s="267">
        <v>12.374000000000001</v>
      </c>
      <c r="J360" s="267">
        <v>13.709</v>
      </c>
      <c r="K360" s="267">
        <v>16.363800000000001</v>
      </c>
      <c r="L360" s="267">
        <v>19.1067</v>
      </c>
      <c r="M360" s="267">
        <v>21.408100000000001</v>
      </c>
      <c r="N360" s="268">
        <v>22.059100000000001</v>
      </c>
      <c r="O360" s="269">
        <v>17.404599999999999</v>
      </c>
    </row>
    <row r="361" spans="1:15" ht="15" x14ac:dyDescent="0.25">
      <c r="A361" s="40">
        <f t="shared" si="59"/>
        <v>1440</v>
      </c>
      <c r="B361" s="108">
        <v>40</v>
      </c>
      <c r="C361" s="266">
        <v>21.8767</v>
      </c>
      <c r="D361" s="267">
        <v>20.001799999999999</v>
      </c>
      <c r="E361" s="267">
        <v>19.0427</v>
      </c>
      <c r="F361" s="267">
        <v>17.078399999999998</v>
      </c>
      <c r="G361" s="267">
        <v>13.2875</v>
      </c>
      <c r="H361" s="267">
        <v>11.711</v>
      </c>
      <c r="I361" s="267">
        <v>12.659000000000001</v>
      </c>
      <c r="J361" s="267">
        <v>13.8729</v>
      </c>
      <c r="K361" s="267">
        <v>16.322099999999999</v>
      </c>
      <c r="L361" s="267">
        <v>18.729299999999999</v>
      </c>
      <c r="M361" s="267">
        <v>20.629799999999999</v>
      </c>
      <c r="N361" s="268">
        <v>21.0687</v>
      </c>
      <c r="O361" s="269">
        <v>17.1751</v>
      </c>
    </row>
    <row r="362" spans="1:15" ht="15" x14ac:dyDescent="0.25">
      <c r="A362" s="40">
        <f t="shared" si="59"/>
        <v>1445</v>
      </c>
      <c r="B362" s="108">
        <v>45</v>
      </c>
      <c r="C362" s="266">
        <v>20.814900000000002</v>
      </c>
      <c r="D362" s="267">
        <v>19.3352</v>
      </c>
      <c r="E362" s="267">
        <v>18.746200000000002</v>
      </c>
      <c r="F362" s="267">
        <v>17.1129</v>
      </c>
      <c r="G362" s="267">
        <v>13.442399999999999</v>
      </c>
      <c r="H362" s="267">
        <v>11.921900000000001</v>
      </c>
      <c r="I362" s="267">
        <v>12.865</v>
      </c>
      <c r="J362" s="267">
        <v>13.9536</v>
      </c>
      <c r="K362" s="267">
        <v>16.184000000000001</v>
      </c>
      <c r="L362" s="267">
        <v>18.243099999999998</v>
      </c>
      <c r="M362" s="267">
        <v>19.733000000000001</v>
      </c>
      <c r="N362" s="268">
        <v>19.959299999999999</v>
      </c>
      <c r="O362" s="269">
        <v>16.845800000000001</v>
      </c>
    </row>
    <row r="363" spans="1:15" ht="15" x14ac:dyDescent="0.25">
      <c r="A363" s="40">
        <f t="shared" si="59"/>
        <v>1450</v>
      </c>
      <c r="B363" s="108">
        <v>50</v>
      </c>
      <c r="C363" s="266">
        <v>19.662500000000001</v>
      </c>
      <c r="D363" s="267">
        <v>18.569099999999999</v>
      </c>
      <c r="E363" s="267">
        <v>18.339500000000001</v>
      </c>
      <c r="F363" s="267">
        <v>17.042400000000001</v>
      </c>
      <c r="G363" s="267">
        <v>13.5158</v>
      </c>
      <c r="H363" s="267">
        <v>12.059699999999999</v>
      </c>
      <c r="I363" s="267">
        <v>12.989100000000001</v>
      </c>
      <c r="J363" s="267">
        <v>13.9505</v>
      </c>
      <c r="K363" s="267">
        <v>15.9506</v>
      </c>
      <c r="L363" s="267">
        <v>17.651599999999998</v>
      </c>
      <c r="M363" s="267">
        <v>18.728999999999999</v>
      </c>
      <c r="N363" s="268">
        <v>18.7502</v>
      </c>
      <c r="O363" s="269">
        <v>16.422000000000001</v>
      </c>
    </row>
    <row r="364" spans="1:15" ht="15" x14ac:dyDescent="0.25">
      <c r="A364" s="40">
        <f t="shared" si="59"/>
        <v>1455</v>
      </c>
      <c r="B364" s="108">
        <v>55</v>
      </c>
      <c r="C364" s="266">
        <v>18.401700000000002</v>
      </c>
      <c r="D364" s="267">
        <v>17.6995</v>
      </c>
      <c r="E364" s="267">
        <v>17.825600000000001</v>
      </c>
      <c r="F364" s="267">
        <v>16.8672</v>
      </c>
      <c r="G364" s="267">
        <v>13.507199999999999</v>
      </c>
      <c r="H364" s="267">
        <v>12.123200000000001</v>
      </c>
      <c r="I364" s="267">
        <v>13.0322</v>
      </c>
      <c r="J364" s="267">
        <v>13.8636</v>
      </c>
      <c r="K364" s="267">
        <v>15.6236</v>
      </c>
      <c r="L364" s="267">
        <v>16.959900000000001</v>
      </c>
      <c r="M364" s="267">
        <v>17.6496</v>
      </c>
      <c r="N364" s="268">
        <v>17.4971</v>
      </c>
      <c r="O364" s="269">
        <v>15.9101</v>
      </c>
    </row>
    <row r="365" spans="1:15" ht="15" x14ac:dyDescent="0.25">
      <c r="A365" s="40">
        <f t="shared" si="59"/>
        <v>1460</v>
      </c>
      <c r="B365" s="108">
        <v>60</v>
      </c>
      <c r="C365" s="266">
        <v>17.0534</v>
      </c>
      <c r="D365" s="267">
        <v>16.733000000000001</v>
      </c>
      <c r="E365" s="267">
        <v>17.208500000000001</v>
      </c>
      <c r="F365" s="267">
        <v>16.588799999999999</v>
      </c>
      <c r="G365" s="267">
        <v>13.416</v>
      </c>
      <c r="H365" s="267">
        <v>12.1121</v>
      </c>
      <c r="I365" s="267">
        <v>12.995200000000001</v>
      </c>
      <c r="J365" s="267">
        <v>13.693199999999999</v>
      </c>
      <c r="K365" s="267">
        <v>15.2057</v>
      </c>
      <c r="L365" s="267">
        <v>16.176500000000001</v>
      </c>
      <c r="M365" s="267">
        <v>16.486899999999999</v>
      </c>
      <c r="N365" s="268">
        <v>16.1858</v>
      </c>
      <c r="O365" s="269">
        <v>15.312099999999999</v>
      </c>
    </row>
    <row r="366" spans="1:15" ht="15" x14ac:dyDescent="0.25">
      <c r="A366" s="40">
        <f t="shared" si="59"/>
        <v>1465</v>
      </c>
      <c r="B366" s="108">
        <v>65</v>
      </c>
      <c r="C366" s="266">
        <v>15.6402</v>
      </c>
      <c r="D366" s="267">
        <v>15.677</v>
      </c>
      <c r="E366" s="267">
        <v>16.492899999999999</v>
      </c>
      <c r="F366" s="267">
        <v>16.209199999999999</v>
      </c>
      <c r="G366" s="267">
        <v>13.243600000000001</v>
      </c>
      <c r="H366" s="267">
        <v>12.0253</v>
      </c>
      <c r="I366" s="267">
        <v>12.878500000000001</v>
      </c>
      <c r="J366" s="267">
        <v>13.440799999999999</v>
      </c>
      <c r="K366" s="267">
        <v>14.6999</v>
      </c>
      <c r="L366" s="267">
        <v>15.306800000000001</v>
      </c>
      <c r="M366" s="267">
        <v>15.251899999999999</v>
      </c>
      <c r="N366" s="268">
        <v>14.7928</v>
      </c>
      <c r="O366" s="269">
        <v>14.630699999999999</v>
      </c>
    </row>
    <row r="367" spans="1:15" ht="15" x14ac:dyDescent="0.25">
      <c r="A367" s="40">
        <f t="shared" si="59"/>
        <v>1470</v>
      </c>
      <c r="B367" s="108">
        <v>70</v>
      </c>
      <c r="C367" s="266">
        <v>14.166</v>
      </c>
      <c r="D367" s="267">
        <v>14.5406</v>
      </c>
      <c r="E367" s="267">
        <v>15.684200000000001</v>
      </c>
      <c r="F367" s="267">
        <v>15.731400000000001</v>
      </c>
      <c r="G367" s="267">
        <v>12.9915</v>
      </c>
      <c r="H367" s="267">
        <v>11.864599999999999</v>
      </c>
      <c r="I367" s="267">
        <v>12.6831</v>
      </c>
      <c r="J367" s="267">
        <v>13.1089</v>
      </c>
      <c r="K367" s="267">
        <v>14.110099999999999</v>
      </c>
      <c r="L367" s="267">
        <v>14.3559</v>
      </c>
      <c r="M367" s="267">
        <v>13.948700000000001</v>
      </c>
      <c r="N367" s="268">
        <v>13.3286</v>
      </c>
      <c r="O367" s="269">
        <v>13.8703</v>
      </c>
    </row>
    <row r="368" spans="1:15" ht="15" x14ac:dyDescent="0.25">
      <c r="A368" s="40">
        <f t="shared" si="59"/>
        <v>1475</v>
      </c>
      <c r="B368" s="108">
        <v>75</v>
      </c>
      <c r="C368" s="266">
        <v>12.644</v>
      </c>
      <c r="D368" s="267">
        <v>13.341699999999999</v>
      </c>
      <c r="E368" s="267">
        <v>14.788600000000001</v>
      </c>
      <c r="F368" s="267">
        <v>15.159000000000001</v>
      </c>
      <c r="G368" s="267">
        <v>12.6616</v>
      </c>
      <c r="H368" s="267">
        <v>11.632999999999999</v>
      </c>
      <c r="I368" s="267">
        <v>12.4107</v>
      </c>
      <c r="J368" s="267">
        <v>12.6998</v>
      </c>
      <c r="K368" s="267">
        <v>13.4407</v>
      </c>
      <c r="L368" s="267">
        <v>13.3338</v>
      </c>
      <c r="M368" s="267">
        <v>12.580500000000001</v>
      </c>
      <c r="N368" s="268">
        <v>11.814299999999999</v>
      </c>
      <c r="O368" s="269">
        <v>13.0381</v>
      </c>
    </row>
    <row r="369" spans="1:16" ht="15" x14ac:dyDescent="0.25">
      <c r="A369" s="40">
        <f t="shared" si="59"/>
        <v>1480</v>
      </c>
      <c r="B369" s="108">
        <v>80</v>
      </c>
      <c r="C369" s="266">
        <v>11.1236</v>
      </c>
      <c r="D369" s="267">
        <v>12.090999999999999</v>
      </c>
      <c r="E369" s="267">
        <v>13.812799999999999</v>
      </c>
      <c r="F369" s="267">
        <v>14.4963</v>
      </c>
      <c r="G369" s="267">
        <v>12.256500000000001</v>
      </c>
      <c r="H369" s="267">
        <v>11.331300000000001</v>
      </c>
      <c r="I369" s="267">
        <v>12.0632</v>
      </c>
      <c r="J369" s="267">
        <v>12.216699999999999</v>
      </c>
      <c r="K369" s="267">
        <v>12.696999999999999</v>
      </c>
      <c r="L369" s="267">
        <v>12.248900000000001</v>
      </c>
      <c r="M369" s="267">
        <v>11.172599999999999</v>
      </c>
      <c r="N369" s="268">
        <v>10.370200000000001</v>
      </c>
      <c r="O369" s="269">
        <v>12.154299999999999</v>
      </c>
    </row>
    <row r="370" spans="1:16" ht="15" x14ac:dyDescent="0.25">
      <c r="A370" s="40">
        <f t="shared" si="59"/>
        <v>1485</v>
      </c>
      <c r="B370" s="109">
        <v>85</v>
      </c>
      <c r="C370" s="274">
        <v>9.6053999999999995</v>
      </c>
      <c r="D370" s="275">
        <v>10.8085</v>
      </c>
      <c r="E370" s="275">
        <v>12.7644</v>
      </c>
      <c r="F370" s="275">
        <v>13.7484</v>
      </c>
      <c r="G370" s="275">
        <v>11.7791</v>
      </c>
      <c r="H370" s="275">
        <v>10.9594</v>
      </c>
      <c r="I370" s="275">
        <v>11.6432</v>
      </c>
      <c r="J370" s="275">
        <v>11.663</v>
      </c>
      <c r="K370" s="275">
        <v>11.884499999999999</v>
      </c>
      <c r="L370" s="275">
        <v>11.1074</v>
      </c>
      <c r="M370" s="275">
        <v>9.7772000000000006</v>
      </c>
      <c r="N370" s="276">
        <v>8.9337999999999997</v>
      </c>
      <c r="O370" s="277">
        <v>11.222200000000001</v>
      </c>
    </row>
    <row r="371" spans="1:16" x14ac:dyDescent="0.2">
      <c r="A371" s="40">
        <f t="shared" si="59"/>
        <v>1490</v>
      </c>
      <c r="B371" s="40">
        <v>90</v>
      </c>
    </row>
    <row r="372" spans="1:16" x14ac:dyDescent="0.2">
      <c r="A372" s="40">
        <f t="shared" si="59"/>
        <v>1491</v>
      </c>
      <c r="B372" s="40">
        <v>91</v>
      </c>
      <c r="C372" s="107">
        <f>T15</f>
        <v>21.7</v>
      </c>
      <c r="D372" s="107">
        <f t="shared" ref="D372:O372" si="60">U15</f>
        <v>21.5</v>
      </c>
      <c r="E372" s="107">
        <f t="shared" si="60"/>
        <v>19.899999999999999</v>
      </c>
      <c r="F372" s="107">
        <f t="shared" si="60"/>
        <v>16.600000000000001</v>
      </c>
      <c r="G372" s="107">
        <f t="shared" si="60"/>
        <v>13.7</v>
      </c>
      <c r="H372" s="107">
        <f t="shared" si="60"/>
        <v>11.1</v>
      </c>
      <c r="I372" s="107">
        <f t="shared" si="60"/>
        <v>10.9</v>
      </c>
      <c r="J372" s="107">
        <f t="shared" si="60"/>
        <v>11.4</v>
      </c>
      <c r="K372" s="107">
        <f t="shared" si="60"/>
        <v>12.7</v>
      </c>
      <c r="L372" s="107">
        <f t="shared" si="60"/>
        <v>15.1</v>
      </c>
      <c r="M372" s="107">
        <f t="shared" si="60"/>
        <v>17.600000000000001</v>
      </c>
      <c r="N372" s="107">
        <f t="shared" si="60"/>
        <v>20.2</v>
      </c>
      <c r="O372" s="107">
        <f t="shared" si="60"/>
        <v>16</v>
      </c>
      <c r="P372" s="41" t="s">
        <v>683</v>
      </c>
    </row>
    <row r="373" spans="1:16" x14ac:dyDescent="0.2">
      <c r="A373" s="40">
        <f t="shared" si="59"/>
        <v>1492</v>
      </c>
      <c r="B373" s="40">
        <v>92</v>
      </c>
      <c r="C373" s="343">
        <f>T39</f>
        <v>28.4</v>
      </c>
      <c r="D373" s="343">
        <f t="shared" ref="D373:O373" si="61">U39</f>
        <v>28.5</v>
      </c>
      <c r="E373" s="343">
        <f t="shared" si="61"/>
        <v>26.1</v>
      </c>
      <c r="F373" s="343">
        <f t="shared" si="61"/>
        <v>21.7</v>
      </c>
      <c r="G373" s="343">
        <f t="shared" si="61"/>
        <v>16.600000000000001</v>
      </c>
      <c r="H373" s="343">
        <f t="shared" si="61"/>
        <v>12</v>
      </c>
      <c r="I373" s="343">
        <f t="shared" si="61"/>
        <v>9.3000000000000007</v>
      </c>
      <c r="J373" s="343">
        <f t="shared" si="61"/>
        <v>9.1999999999999993</v>
      </c>
      <c r="K373" s="343">
        <f t="shared" si="61"/>
        <v>11.7</v>
      </c>
      <c r="L373" s="343">
        <f t="shared" si="61"/>
        <v>16.100000000000001</v>
      </c>
      <c r="M373" s="343">
        <f t="shared" si="61"/>
        <v>21.3</v>
      </c>
      <c r="N373" s="343">
        <f t="shared" si="61"/>
        <v>25.8</v>
      </c>
      <c r="O373" s="343">
        <f t="shared" si="61"/>
        <v>0</v>
      </c>
    </row>
    <row r="375" spans="1:16" ht="15" x14ac:dyDescent="0.25">
      <c r="B375" s="279" t="s">
        <v>660</v>
      </c>
      <c r="C375" s="278"/>
      <c r="D375" s="278"/>
      <c r="E375" s="278"/>
      <c r="F375" s="278"/>
      <c r="G375" s="957" t="s">
        <v>613</v>
      </c>
      <c r="H375" s="957"/>
      <c r="I375" s="957"/>
      <c r="J375" s="957"/>
      <c r="K375" s="957"/>
      <c r="L375" s="957"/>
      <c r="M375" s="957"/>
      <c r="N375" s="957"/>
      <c r="O375" s="131">
        <v>15</v>
      </c>
    </row>
    <row r="376" spans="1:16" ht="14.25" x14ac:dyDescent="0.2">
      <c r="B376" s="278" t="s">
        <v>614</v>
      </c>
      <c r="C376" s="278" t="s">
        <v>661</v>
      </c>
      <c r="D376" s="278" t="s">
        <v>616</v>
      </c>
      <c r="E376" s="278" t="s">
        <v>662</v>
      </c>
      <c r="F376" s="278"/>
      <c r="G376" s="958" t="s">
        <v>618</v>
      </c>
      <c r="H376" s="958"/>
      <c r="I376" s="958"/>
      <c r="J376" s="958"/>
      <c r="K376" s="958"/>
      <c r="L376" s="958"/>
      <c r="M376" s="958"/>
      <c r="N376" s="958"/>
      <c r="O376" s="958"/>
    </row>
    <row r="377" spans="1:16" ht="15" x14ac:dyDescent="0.25">
      <c r="B377" s="280" t="s">
        <v>619</v>
      </c>
      <c r="C377" s="91" t="s">
        <v>4</v>
      </c>
      <c r="D377" s="91" t="s">
        <v>5</v>
      </c>
      <c r="E377" s="91" t="s">
        <v>6</v>
      </c>
      <c r="F377" s="91" t="s">
        <v>7</v>
      </c>
      <c r="G377" s="91" t="s">
        <v>8</v>
      </c>
      <c r="H377" s="91" t="s">
        <v>9</v>
      </c>
      <c r="I377" s="91" t="s">
        <v>10</v>
      </c>
      <c r="J377" s="91" t="s">
        <v>11</v>
      </c>
      <c r="K377" s="91" t="s">
        <v>12</v>
      </c>
      <c r="L377" s="91" t="s">
        <v>13</v>
      </c>
      <c r="M377" s="91" t="s">
        <v>14</v>
      </c>
      <c r="N377" s="91" t="s">
        <v>15</v>
      </c>
      <c r="O377" s="281" t="s">
        <v>620</v>
      </c>
    </row>
    <row r="378" spans="1:16" ht="15" x14ac:dyDescent="0.25">
      <c r="A378" s="40">
        <f>O$375*100+B378</f>
        <v>1500</v>
      </c>
      <c r="B378" s="108">
        <v>0</v>
      </c>
      <c r="C378" s="282">
        <v>25.750299999999999</v>
      </c>
      <c r="D378" s="283">
        <v>22.144300000000001</v>
      </c>
      <c r="E378" s="283">
        <v>18.560500000000001</v>
      </c>
      <c r="F378" s="283">
        <v>14.193899999999999</v>
      </c>
      <c r="G378" s="283">
        <v>10.3066</v>
      </c>
      <c r="H378" s="283">
        <v>8.5065000000000008</v>
      </c>
      <c r="I378" s="283">
        <v>9.9056999999999995</v>
      </c>
      <c r="J378" s="283">
        <v>11.9429</v>
      </c>
      <c r="K378" s="283">
        <v>15.39</v>
      </c>
      <c r="L378" s="283">
        <v>19.384799999999998</v>
      </c>
      <c r="M378" s="283">
        <v>23.977900000000002</v>
      </c>
      <c r="N378" s="284">
        <v>25.798400000000001</v>
      </c>
      <c r="O378" s="285">
        <v>17.132100000000001</v>
      </c>
    </row>
    <row r="379" spans="1:16" ht="15" x14ac:dyDescent="0.25">
      <c r="A379" s="40">
        <f t="shared" ref="A379:A398" si="62">O$375*100+B379</f>
        <v>1505</v>
      </c>
      <c r="B379" s="108">
        <v>5</v>
      </c>
      <c r="C379" s="282">
        <v>25.718</v>
      </c>
      <c r="D379" s="283">
        <v>22.4358</v>
      </c>
      <c r="E379" s="283">
        <v>19.183</v>
      </c>
      <c r="F379" s="283">
        <v>15.0176</v>
      </c>
      <c r="G379" s="283">
        <v>11.104799999999999</v>
      </c>
      <c r="H379" s="283">
        <v>9.2916000000000007</v>
      </c>
      <c r="I379" s="283">
        <v>10.8194</v>
      </c>
      <c r="J379" s="283">
        <v>12.706099999999999</v>
      </c>
      <c r="K379" s="283">
        <v>16.0336</v>
      </c>
      <c r="L379" s="283">
        <v>19.784300000000002</v>
      </c>
      <c r="M379" s="283">
        <v>24.084800000000001</v>
      </c>
      <c r="N379" s="284">
        <v>25.691800000000001</v>
      </c>
      <c r="O379" s="285">
        <v>17.633600000000001</v>
      </c>
    </row>
    <row r="380" spans="1:16" ht="15" x14ac:dyDescent="0.25">
      <c r="A380" s="40">
        <f t="shared" si="62"/>
        <v>1510</v>
      </c>
      <c r="B380" s="108">
        <v>10</v>
      </c>
      <c r="C380" s="282">
        <v>25.5275</v>
      </c>
      <c r="D380" s="283">
        <v>22.5928</v>
      </c>
      <c r="E380" s="283">
        <v>19.689900000000002</v>
      </c>
      <c r="F380" s="283">
        <v>15.751799999999999</v>
      </c>
      <c r="G380" s="283">
        <v>11.839</v>
      </c>
      <c r="H380" s="283">
        <v>10.0237</v>
      </c>
      <c r="I380" s="283">
        <v>11.669</v>
      </c>
      <c r="J380" s="283">
        <v>13.3957</v>
      </c>
      <c r="K380" s="283">
        <v>16.582799999999999</v>
      </c>
      <c r="L380" s="283">
        <v>20.064599999999999</v>
      </c>
      <c r="M380" s="283">
        <v>24.043700000000001</v>
      </c>
      <c r="N380" s="284">
        <v>25.427900000000001</v>
      </c>
      <c r="O380" s="285">
        <v>18.029199999999999</v>
      </c>
    </row>
    <row r="381" spans="1:16" ht="15" x14ac:dyDescent="0.25">
      <c r="A381" s="40">
        <f t="shared" si="62"/>
        <v>1515</v>
      </c>
      <c r="B381" s="108">
        <v>15</v>
      </c>
      <c r="C381" s="282">
        <v>25.180299999999999</v>
      </c>
      <c r="D381" s="283">
        <v>22.613900000000001</v>
      </c>
      <c r="E381" s="283">
        <v>20.077300000000001</v>
      </c>
      <c r="F381" s="283">
        <v>16.390699999999999</v>
      </c>
      <c r="G381" s="283">
        <v>12.5036</v>
      </c>
      <c r="H381" s="283">
        <v>10.6972</v>
      </c>
      <c r="I381" s="283">
        <v>12.447900000000001</v>
      </c>
      <c r="J381" s="283">
        <v>14.006399999999999</v>
      </c>
      <c r="K381" s="283">
        <v>17.033200000000001</v>
      </c>
      <c r="L381" s="283">
        <v>20.223600000000001</v>
      </c>
      <c r="M381" s="283">
        <v>23.8552</v>
      </c>
      <c r="N381" s="284">
        <v>25.008700000000001</v>
      </c>
      <c r="O381" s="285">
        <v>18.315999999999999</v>
      </c>
    </row>
    <row r="382" spans="1:16" ht="15" x14ac:dyDescent="0.25">
      <c r="A382" s="40">
        <f t="shared" si="62"/>
        <v>1520</v>
      </c>
      <c r="B382" s="108">
        <v>20</v>
      </c>
      <c r="C382" s="282">
        <v>24.678999999999998</v>
      </c>
      <c r="D382" s="283">
        <v>22.498999999999999</v>
      </c>
      <c r="E382" s="283">
        <v>20.342199999999998</v>
      </c>
      <c r="F382" s="283">
        <v>16.929500000000001</v>
      </c>
      <c r="G382" s="283">
        <v>13.093500000000001</v>
      </c>
      <c r="H382" s="283">
        <v>11.307</v>
      </c>
      <c r="I382" s="283">
        <v>13.1503</v>
      </c>
      <c r="J382" s="283">
        <v>14.5336</v>
      </c>
      <c r="K382" s="283">
        <v>17.381499999999999</v>
      </c>
      <c r="L382" s="283">
        <v>20.260100000000001</v>
      </c>
      <c r="M382" s="283">
        <v>23.520600000000002</v>
      </c>
      <c r="N382" s="284">
        <v>24.4374</v>
      </c>
      <c r="O382" s="285">
        <v>18.491800000000001</v>
      </c>
    </row>
    <row r="383" spans="1:16" ht="15" x14ac:dyDescent="0.25">
      <c r="A383" s="40">
        <f t="shared" si="62"/>
        <v>1525</v>
      </c>
      <c r="B383" s="108">
        <v>25</v>
      </c>
      <c r="C383" s="286">
        <v>24.0274</v>
      </c>
      <c r="D383" s="287">
        <v>22.248999999999999</v>
      </c>
      <c r="E383" s="287">
        <v>20.482600000000001</v>
      </c>
      <c r="F383" s="287">
        <v>17.364100000000001</v>
      </c>
      <c r="G383" s="287">
        <v>13.6043</v>
      </c>
      <c r="H383" s="287">
        <v>11.8484</v>
      </c>
      <c r="I383" s="287">
        <v>13.770899999999999</v>
      </c>
      <c r="J383" s="287">
        <v>14.9734</v>
      </c>
      <c r="K383" s="287">
        <v>17.625</v>
      </c>
      <c r="L383" s="287">
        <v>20.1739</v>
      </c>
      <c r="M383" s="287">
        <v>23.042400000000001</v>
      </c>
      <c r="N383" s="288">
        <v>23.7227</v>
      </c>
      <c r="O383" s="289">
        <v>18.555599999999998</v>
      </c>
    </row>
    <row r="384" spans="1:16" ht="15" x14ac:dyDescent="0.25">
      <c r="A384" s="40">
        <f t="shared" si="62"/>
        <v>1530</v>
      </c>
      <c r="B384" s="108">
        <v>30</v>
      </c>
      <c r="C384" s="282">
        <v>23.238</v>
      </c>
      <c r="D384" s="283">
        <v>21.8659</v>
      </c>
      <c r="E384" s="283">
        <v>20.497599999999998</v>
      </c>
      <c r="F384" s="283">
        <v>17.691299999999998</v>
      </c>
      <c r="G384" s="283">
        <v>14.032</v>
      </c>
      <c r="H384" s="283">
        <v>12.317399999999999</v>
      </c>
      <c r="I384" s="283">
        <v>14.3048</v>
      </c>
      <c r="J384" s="283">
        <v>15.3223</v>
      </c>
      <c r="K384" s="283">
        <v>17.761800000000001</v>
      </c>
      <c r="L384" s="283">
        <v>19.965399999999999</v>
      </c>
      <c r="M384" s="283">
        <v>22.424399999999999</v>
      </c>
      <c r="N384" s="284">
        <v>22.881</v>
      </c>
      <c r="O384" s="285">
        <v>18.508400000000002</v>
      </c>
    </row>
    <row r="385" spans="1:16" ht="15" x14ac:dyDescent="0.25">
      <c r="A385" s="40">
        <f t="shared" si="62"/>
        <v>1535</v>
      </c>
      <c r="B385" s="108">
        <v>35</v>
      </c>
      <c r="C385" s="282">
        <v>22.3446</v>
      </c>
      <c r="D385" s="283">
        <v>21.354600000000001</v>
      </c>
      <c r="E385" s="283">
        <v>20.386800000000001</v>
      </c>
      <c r="F385" s="283">
        <v>17.9085</v>
      </c>
      <c r="G385" s="283">
        <v>14.3734</v>
      </c>
      <c r="H385" s="283">
        <v>12.7103</v>
      </c>
      <c r="I385" s="283">
        <v>14.748100000000001</v>
      </c>
      <c r="J385" s="283">
        <v>15.5777</v>
      </c>
      <c r="K385" s="283">
        <v>17.790900000000001</v>
      </c>
      <c r="L385" s="283">
        <v>19.636500000000002</v>
      </c>
      <c r="M385" s="283">
        <v>21.671099999999999</v>
      </c>
      <c r="N385" s="284">
        <v>21.9041</v>
      </c>
      <c r="O385" s="285">
        <v>18.352</v>
      </c>
    </row>
    <row r="386" spans="1:16" ht="15" x14ac:dyDescent="0.25">
      <c r="A386" s="40">
        <f t="shared" si="62"/>
        <v>1540</v>
      </c>
      <c r="B386" s="108">
        <v>40</v>
      </c>
      <c r="C386" s="282">
        <v>21.345400000000001</v>
      </c>
      <c r="D386" s="283">
        <v>20.720199999999998</v>
      </c>
      <c r="E386" s="283">
        <v>20.151299999999999</v>
      </c>
      <c r="F386" s="283">
        <v>18.013999999999999</v>
      </c>
      <c r="G386" s="283">
        <v>14.6259</v>
      </c>
      <c r="H386" s="283">
        <v>13.007400000000001</v>
      </c>
      <c r="I386" s="283">
        <v>15.0974</v>
      </c>
      <c r="J386" s="283">
        <v>15.7376</v>
      </c>
      <c r="K386" s="283">
        <v>17.712199999999999</v>
      </c>
      <c r="L386" s="283">
        <v>19.189499999999999</v>
      </c>
      <c r="M386" s="283">
        <v>20.788399999999999</v>
      </c>
      <c r="N386" s="284">
        <v>20.806100000000001</v>
      </c>
      <c r="O386" s="285">
        <v>18.085999999999999</v>
      </c>
    </row>
    <row r="387" spans="1:16" ht="15" x14ac:dyDescent="0.25">
      <c r="A387" s="40">
        <f t="shared" si="62"/>
        <v>1545</v>
      </c>
      <c r="B387" s="108">
        <v>45</v>
      </c>
      <c r="C387" s="282">
        <v>20.222799999999999</v>
      </c>
      <c r="D387" s="283">
        <v>19.964099999999998</v>
      </c>
      <c r="E387" s="283">
        <v>19.7927</v>
      </c>
      <c r="F387" s="283">
        <v>18.007100000000001</v>
      </c>
      <c r="G387" s="283">
        <v>14.7865</v>
      </c>
      <c r="H387" s="283">
        <v>13.2057</v>
      </c>
      <c r="I387" s="283">
        <v>15.346500000000001</v>
      </c>
      <c r="J387" s="283">
        <v>15.8009</v>
      </c>
      <c r="K387" s="283">
        <v>17.5261</v>
      </c>
      <c r="L387" s="283">
        <v>18.627800000000001</v>
      </c>
      <c r="M387" s="283">
        <v>19.782900000000001</v>
      </c>
      <c r="N387" s="284">
        <v>19.614699999999999</v>
      </c>
      <c r="O387" s="285">
        <v>17.711200000000002</v>
      </c>
    </row>
    <row r="388" spans="1:16" ht="15" x14ac:dyDescent="0.25">
      <c r="A388" s="40">
        <f t="shared" si="62"/>
        <v>1550</v>
      </c>
      <c r="B388" s="108">
        <v>50</v>
      </c>
      <c r="C388" s="282">
        <v>18.983899999999998</v>
      </c>
      <c r="D388" s="283">
        <v>19.092300000000002</v>
      </c>
      <c r="E388" s="283">
        <v>19.3139</v>
      </c>
      <c r="F388" s="283">
        <v>17.887799999999999</v>
      </c>
      <c r="G388" s="283">
        <v>14.851699999999999</v>
      </c>
      <c r="H388" s="283">
        <v>13.325200000000001</v>
      </c>
      <c r="I388" s="283">
        <v>15.4924</v>
      </c>
      <c r="J388" s="283">
        <v>15.767099999999999</v>
      </c>
      <c r="K388" s="283">
        <v>17.234100000000002</v>
      </c>
      <c r="L388" s="283">
        <v>17.9558</v>
      </c>
      <c r="M388" s="283">
        <v>18.671299999999999</v>
      </c>
      <c r="N388" s="284">
        <v>18.325900000000001</v>
      </c>
      <c r="O388" s="285">
        <v>17.2316</v>
      </c>
    </row>
    <row r="389" spans="1:16" ht="15" x14ac:dyDescent="0.25">
      <c r="A389" s="40">
        <f t="shared" si="62"/>
        <v>1555</v>
      </c>
      <c r="B389" s="108">
        <v>55</v>
      </c>
      <c r="C389" s="282">
        <v>17.638100000000001</v>
      </c>
      <c r="D389" s="283">
        <v>18.1113</v>
      </c>
      <c r="E389" s="283">
        <v>18.718399999999999</v>
      </c>
      <c r="F389" s="283">
        <v>17.657</v>
      </c>
      <c r="G389" s="283">
        <v>14.823399999999999</v>
      </c>
      <c r="H389" s="283">
        <v>13.365600000000001</v>
      </c>
      <c r="I389" s="283">
        <v>15.5375</v>
      </c>
      <c r="J389" s="283">
        <v>15.6364</v>
      </c>
      <c r="K389" s="283">
        <v>16.8384</v>
      </c>
      <c r="L389" s="283">
        <v>17.1785</v>
      </c>
      <c r="M389" s="283">
        <v>17.4739</v>
      </c>
      <c r="N389" s="284">
        <v>16.939699999999998</v>
      </c>
      <c r="O389" s="285">
        <v>16.651499999999999</v>
      </c>
    </row>
    <row r="390" spans="1:16" ht="15" x14ac:dyDescent="0.25">
      <c r="A390" s="40">
        <f t="shared" si="62"/>
        <v>1560</v>
      </c>
      <c r="B390" s="108">
        <v>60</v>
      </c>
      <c r="C390" s="282">
        <v>16.1967</v>
      </c>
      <c r="D390" s="283">
        <v>17.028600000000001</v>
      </c>
      <c r="E390" s="283">
        <v>18.0108</v>
      </c>
      <c r="F390" s="283">
        <v>17.316500000000001</v>
      </c>
      <c r="G390" s="283">
        <v>14.703099999999999</v>
      </c>
      <c r="H390" s="283">
        <v>13.326700000000001</v>
      </c>
      <c r="I390" s="283">
        <v>15.4834</v>
      </c>
      <c r="J390" s="283">
        <v>15.409700000000001</v>
      </c>
      <c r="K390" s="283">
        <v>16.342099999999999</v>
      </c>
      <c r="L390" s="283">
        <v>16.302600000000002</v>
      </c>
      <c r="M390" s="283">
        <v>16.2197</v>
      </c>
      <c r="N390" s="284">
        <v>15.507300000000001</v>
      </c>
      <c r="O390" s="285">
        <v>15.9808</v>
      </c>
    </row>
    <row r="391" spans="1:16" ht="15" x14ac:dyDescent="0.25">
      <c r="A391" s="40">
        <f t="shared" si="62"/>
        <v>1565</v>
      </c>
      <c r="B391" s="108">
        <v>65</v>
      </c>
      <c r="C391" s="282">
        <v>14.6922</v>
      </c>
      <c r="D391" s="283">
        <v>15.852399999999999</v>
      </c>
      <c r="E391" s="283">
        <v>17.1965</v>
      </c>
      <c r="F391" s="283">
        <v>16.8689</v>
      </c>
      <c r="G391" s="283">
        <v>14.492599999999999</v>
      </c>
      <c r="H391" s="283">
        <v>13.2087</v>
      </c>
      <c r="I391" s="283">
        <v>15.3317</v>
      </c>
      <c r="J391" s="283">
        <v>15.089</v>
      </c>
      <c r="K391" s="283">
        <v>15.748900000000001</v>
      </c>
      <c r="L391" s="283">
        <v>15.3416</v>
      </c>
      <c r="M391" s="283">
        <v>14.885999999999999</v>
      </c>
      <c r="N391" s="284">
        <v>14.0077</v>
      </c>
      <c r="O391" s="285">
        <v>15.2217</v>
      </c>
    </row>
    <row r="392" spans="1:16" ht="15" x14ac:dyDescent="0.25">
      <c r="A392" s="40">
        <f t="shared" si="62"/>
        <v>1570</v>
      </c>
      <c r="B392" s="108">
        <v>70</v>
      </c>
      <c r="C392" s="282">
        <v>13.1904</v>
      </c>
      <c r="D392" s="283">
        <v>14.591699999999999</v>
      </c>
      <c r="E392" s="283">
        <v>16.281700000000001</v>
      </c>
      <c r="F392" s="283">
        <v>16.317599999999999</v>
      </c>
      <c r="G392" s="283">
        <v>14.194000000000001</v>
      </c>
      <c r="H392" s="283">
        <v>13.012499999999999</v>
      </c>
      <c r="I392" s="283">
        <v>15.084199999999999</v>
      </c>
      <c r="J392" s="283">
        <v>14.676399999999999</v>
      </c>
      <c r="K392" s="283">
        <v>15.0633</v>
      </c>
      <c r="L392" s="283">
        <v>14.3042</v>
      </c>
      <c r="M392" s="283">
        <v>13.474500000000001</v>
      </c>
      <c r="N392" s="284">
        <v>12.469099999999999</v>
      </c>
      <c r="O392" s="285">
        <v>14.3858</v>
      </c>
    </row>
    <row r="393" spans="1:16" ht="15" x14ac:dyDescent="0.25">
      <c r="A393" s="40">
        <f t="shared" si="62"/>
        <v>1575</v>
      </c>
      <c r="B393" s="108">
        <v>75</v>
      </c>
      <c r="C393" s="282">
        <v>11.6683</v>
      </c>
      <c r="D393" s="283">
        <v>13.269399999999999</v>
      </c>
      <c r="E393" s="283">
        <v>15.273300000000001</v>
      </c>
      <c r="F393" s="283">
        <v>15.666700000000001</v>
      </c>
      <c r="G393" s="283">
        <v>13.809699999999999</v>
      </c>
      <c r="H393" s="283">
        <v>12.7395</v>
      </c>
      <c r="I393" s="283">
        <v>14.742800000000001</v>
      </c>
      <c r="J393" s="283">
        <v>14.1753</v>
      </c>
      <c r="K393" s="283">
        <v>14.2905</v>
      </c>
      <c r="L393" s="283">
        <v>13.1945</v>
      </c>
      <c r="M393" s="283">
        <v>11.999000000000001</v>
      </c>
      <c r="N393" s="284">
        <v>10.9277</v>
      </c>
      <c r="O393" s="285">
        <v>13.4793</v>
      </c>
    </row>
    <row r="394" spans="1:16" ht="15" x14ac:dyDescent="0.25">
      <c r="A394" s="40">
        <f t="shared" si="62"/>
        <v>1580</v>
      </c>
      <c r="B394" s="108">
        <v>80</v>
      </c>
      <c r="C394" s="282">
        <v>10.0976</v>
      </c>
      <c r="D394" s="283">
        <v>11.910600000000001</v>
      </c>
      <c r="E394" s="283">
        <v>14.179</v>
      </c>
      <c r="F394" s="283">
        <v>14.9213</v>
      </c>
      <c r="G394" s="283">
        <v>13.342599999999999</v>
      </c>
      <c r="H394" s="283">
        <v>12.391999999999999</v>
      </c>
      <c r="I394" s="283">
        <v>14.3102</v>
      </c>
      <c r="J394" s="283">
        <v>13.589499999999999</v>
      </c>
      <c r="K394" s="283">
        <v>13.436500000000001</v>
      </c>
      <c r="L394" s="283">
        <v>12.018599999999999</v>
      </c>
      <c r="M394" s="283">
        <v>10.504799999999999</v>
      </c>
      <c r="N394" s="284">
        <v>9.4034999999999993</v>
      </c>
      <c r="O394" s="285">
        <v>12.510400000000001</v>
      </c>
    </row>
    <row r="395" spans="1:16" ht="15" x14ac:dyDescent="0.25">
      <c r="A395" s="40">
        <f t="shared" si="62"/>
        <v>1585</v>
      </c>
      <c r="B395" s="109">
        <v>85</v>
      </c>
      <c r="C395" s="290">
        <v>8.5587</v>
      </c>
      <c r="D395" s="291">
        <v>10.5197</v>
      </c>
      <c r="E395" s="291">
        <v>13.007099999999999</v>
      </c>
      <c r="F395" s="291">
        <v>14.087</v>
      </c>
      <c r="G395" s="291">
        <v>12.7957</v>
      </c>
      <c r="H395" s="291">
        <v>11.9725</v>
      </c>
      <c r="I395" s="291">
        <v>13.789099999999999</v>
      </c>
      <c r="J395" s="291">
        <v>12.923299999999999</v>
      </c>
      <c r="K395" s="291">
        <v>12.5077</v>
      </c>
      <c r="L395" s="291">
        <v>10.7844</v>
      </c>
      <c r="M395" s="291">
        <v>9.0368999999999993</v>
      </c>
      <c r="N395" s="292">
        <v>7.9263000000000003</v>
      </c>
      <c r="O395" s="293">
        <v>11.495900000000001</v>
      </c>
    </row>
    <row r="396" spans="1:16" x14ac:dyDescent="0.2">
      <c r="A396" s="40">
        <f t="shared" si="62"/>
        <v>1590</v>
      </c>
      <c r="B396" s="40">
        <v>90</v>
      </c>
    </row>
    <row r="397" spans="1:16" x14ac:dyDescent="0.2">
      <c r="A397" s="40">
        <f t="shared" si="62"/>
        <v>1591</v>
      </c>
      <c r="B397" s="40">
        <v>91</v>
      </c>
      <c r="C397" s="107">
        <f>T16</f>
        <v>25</v>
      </c>
      <c r="D397" s="107">
        <f t="shared" ref="D397:O397" si="63">U16</f>
        <v>23.9</v>
      </c>
      <c r="E397" s="107">
        <f t="shared" si="63"/>
        <v>21.6</v>
      </c>
      <c r="F397" s="107">
        <f t="shared" si="63"/>
        <v>18.100000000000001</v>
      </c>
      <c r="G397" s="107">
        <f t="shared" si="63"/>
        <v>15</v>
      </c>
      <c r="H397" s="107">
        <f t="shared" si="63"/>
        <v>11.7</v>
      </c>
      <c r="I397" s="107">
        <f t="shared" si="63"/>
        <v>12</v>
      </c>
      <c r="J397" s="107">
        <f t="shared" si="63"/>
        <v>13.2</v>
      </c>
      <c r="K397" s="107">
        <f t="shared" si="63"/>
        <v>14.9</v>
      </c>
      <c r="L397" s="107">
        <f t="shared" si="63"/>
        <v>18</v>
      </c>
      <c r="M397" s="107">
        <f t="shared" si="63"/>
        <v>20.7</v>
      </c>
      <c r="N397" s="107">
        <f t="shared" si="63"/>
        <v>23.5</v>
      </c>
      <c r="O397" s="107">
        <f t="shared" si="63"/>
        <v>18.100000000000001</v>
      </c>
      <c r="P397" s="41" t="s">
        <v>677</v>
      </c>
    </row>
    <row r="398" spans="1:16" x14ac:dyDescent="0.2">
      <c r="A398" s="40">
        <f t="shared" si="62"/>
        <v>1592</v>
      </c>
      <c r="B398" s="40">
        <v>92</v>
      </c>
      <c r="C398" s="343">
        <f>T40</f>
        <v>28.4</v>
      </c>
      <c r="D398" s="343">
        <f t="shared" ref="D398:O398" si="64">U40</f>
        <v>28.5</v>
      </c>
      <c r="E398" s="343">
        <f t="shared" si="64"/>
        <v>26.1</v>
      </c>
      <c r="F398" s="343">
        <f t="shared" si="64"/>
        <v>21.7</v>
      </c>
      <c r="G398" s="343">
        <f t="shared" si="64"/>
        <v>16.600000000000001</v>
      </c>
      <c r="H398" s="343">
        <f t="shared" si="64"/>
        <v>12</v>
      </c>
      <c r="I398" s="343">
        <f t="shared" si="64"/>
        <v>9.3000000000000007</v>
      </c>
      <c r="J398" s="343">
        <f t="shared" si="64"/>
        <v>9.1999999999999993</v>
      </c>
      <c r="K398" s="343">
        <f t="shared" si="64"/>
        <v>11.7</v>
      </c>
      <c r="L398" s="343">
        <f t="shared" si="64"/>
        <v>16.100000000000001</v>
      </c>
      <c r="M398" s="343">
        <f t="shared" si="64"/>
        <v>21.3</v>
      </c>
      <c r="N398" s="343">
        <f t="shared" si="64"/>
        <v>25.8</v>
      </c>
      <c r="O398" s="343">
        <f t="shared" si="64"/>
        <v>0</v>
      </c>
    </row>
    <row r="400" spans="1:16" ht="15" x14ac:dyDescent="0.25">
      <c r="B400" s="295" t="s">
        <v>663</v>
      </c>
      <c r="C400" s="294"/>
      <c r="D400" s="294"/>
      <c r="E400" s="294"/>
      <c r="F400" s="294"/>
      <c r="G400" s="957" t="s">
        <v>613</v>
      </c>
      <c r="H400" s="957"/>
      <c r="I400" s="957"/>
      <c r="J400" s="957"/>
      <c r="K400" s="957"/>
      <c r="L400" s="957"/>
      <c r="M400" s="957"/>
      <c r="N400" s="957"/>
      <c r="O400" s="131">
        <v>16</v>
      </c>
    </row>
    <row r="401" spans="1:15" ht="14.25" x14ac:dyDescent="0.2">
      <c r="B401" s="294" t="s">
        <v>614</v>
      </c>
      <c r="C401" s="294" t="s">
        <v>664</v>
      </c>
      <c r="D401" s="294" t="s">
        <v>616</v>
      </c>
      <c r="E401" s="294" t="s">
        <v>665</v>
      </c>
      <c r="F401" s="294"/>
      <c r="G401" s="958" t="s">
        <v>618</v>
      </c>
      <c r="H401" s="958"/>
      <c r="I401" s="958"/>
      <c r="J401" s="958"/>
      <c r="K401" s="958"/>
      <c r="L401" s="958"/>
      <c r="M401" s="958"/>
      <c r="N401" s="958"/>
      <c r="O401" s="958"/>
    </row>
    <row r="402" spans="1:15" ht="15" x14ac:dyDescent="0.25">
      <c r="B402" s="296" t="s">
        <v>619</v>
      </c>
      <c r="C402" s="91" t="s">
        <v>4</v>
      </c>
      <c r="D402" s="91" t="s">
        <v>5</v>
      </c>
      <c r="E402" s="91" t="s">
        <v>6</v>
      </c>
      <c r="F402" s="91" t="s">
        <v>7</v>
      </c>
      <c r="G402" s="91" t="s">
        <v>8</v>
      </c>
      <c r="H402" s="91" t="s">
        <v>9</v>
      </c>
      <c r="I402" s="91" t="s">
        <v>10</v>
      </c>
      <c r="J402" s="91" t="s">
        <v>11</v>
      </c>
      <c r="K402" s="91" t="s">
        <v>12</v>
      </c>
      <c r="L402" s="91" t="s">
        <v>13</v>
      </c>
      <c r="M402" s="91" t="s">
        <v>14</v>
      </c>
      <c r="N402" s="91" t="s">
        <v>15</v>
      </c>
      <c r="O402" s="297" t="s">
        <v>620</v>
      </c>
    </row>
    <row r="403" spans="1:15" ht="15" x14ac:dyDescent="0.25">
      <c r="A403" s="40">
        <f>O$400*100+B403</f>
        <v>1600</v>
      </c>
      <c r="B403" s="108">
        <v>0</v>
      </c>
      <c r="C403" s="298">
        <v>26.228400000000001</v>
      </c>
      <c r="D403" s="299">
        <v>21.684200000000001</v>
      </c>
      <c r="E403" s="299">
        <v>17.795100000000001</v>
      </c>
      <c r="F403" s="299">
        <v>13.327400000000001</v>
      </c>
      <c r="G403" s="299">
        <v>9.2562999999999995</v>
      </c>
      <c r="H403" s="299">
        <v>7.6254</v>
      </c>
      <c r="I403" s="299">
        <v>8.3133999999999997</v>
      </c>
      <c r="J403" s="299">
        <v>10.4512</v>
      </c>
      <c r="K403" s="299">
        <v>14.1671</v>
      </c>
      <c r="L403" s="299">
        <v>18.959399999999999</v>
      </c>
      <c r="M403" s="299">
        <v>23.5303</v>
      </c>
      <c r="N403" s="300">
        <v>26.0276</v>
      </c>
      <c r="O403" s="301">
        <v>16.4237</v>
      </c>
    </row>
    <row r="404" spans="1:15" ht="15" x14ac:dyDescent="0.25">
      <c r="A404" s="40">
        <f t="shared" ref="A404:A423" si="65">O$400*100+B404</f>
        <v>1605</v>
      </c>
      <c r="B404" s="108">
        <v>5</v>
      </c>
      <c r="C404" s="298">
        <v>26.289899999999999</v>
      </c>
      <c r="D404" s="299">
        <v>22.0288</v>
      </c>
      <c r="E404" s="299">
        <v>18.4465</v>
      </c>
      <c r="F404" s="299">
        <v>14.152799999999999</v>
      </c>
      <c r="G404" s="299">
        <v>9.9951000000000008</v>
      </c>
      <c r="H404" s="299">
        <v>8.3340999999999994</v>
      </c>
      <c r="I404" s="299">
        <v>9.09</v>
      </c>
      <c r="J404" s="299">
        <v>11.1447</v>
      </c>
      <c r="K404" s="299">
        <v>14.7958</v>
      </c>
      <c r="L404" s="299">
        <v>19.407900000000001</v>
      </c>
      <c r="M404" s="299">
        <v>23.71</v>
      </c>
      <c r="N404" s="300">
        <v>26.006399999999999</v>
      </c>
      <c r="O404" s="301">
        <v>16.927099999999999</v>
      </c>
    </row>
    <row r="405" spans="1:15" ht="15" x14ac:dyDescent="0.25">
      <c r="A405" s="40">
        <f t="shared" si="65"/>
        <v>1610</v>
      </c>
      <c r="B405" s="108">
        <v>10</v>
      </c>
      <c r="C405" s="298">
        <v>26.189299999999999</v>
      </c>
      <c r="D405" s="299">
        <v>22.2424</v>
      </c>
      <c r="E405" s="299">
        <v>18.988299999999999</v>
      </c>
      <c r="F405" s="299">
        <v>14.895200000000001</v>
      </c>
      <c r="G405" s="299">
        <v>10.677899999999999</v>
      </c>
      <c r="H405" s="299">
        <v>8.9964999999999993</v>
      </c>
      <c r="I405" s="299">
        <v>9.8145000000000007</v>
      </c>
      <c r="J405" s="299">
        <v>11.775399999999999</v>
      </c>
      <c r="K405" s="299">
        <v>15.3392</v>
      </c>
      <c r="L405" s="299">
        <v>19.741399999999999</v>
      </c>
      <c r="M405" s="299">
        <v>23.746700000000001</v>
      </c>
      <c r="N405" s="300">
        <v>25.826699999999999</v>
      </c>
      <c r="O405" s="301">
        <v>17.330200000000001</v>
      </c>
    </row>
    <row r="406" spans="1:15" ht="15" x14ac:dyDescent="0.25">
      <c r="A406" s="40">
        <f t="shared" si="65"/>
        <v>1615</v>
      </c>
      <c r="B406" s="108">
        <v>15</v>
      </c>
      <c r="C406" s="298">
        <v>25.927299999999999</v>
      </c>
      <c r="D406" s="299">
        <v>22.3233</v>
      </c>
      <c r="E406" s="299">
        <v>19.4163</v>
      </c>
      <c r="F406" s="299">
        <v>15.548999999999999</v>
      </c>
      <c r="G406" s="299">
        <v>11.299300000000001</v>
      </c>
      <c r="H406" s="299">
        <v>9.6074999999999999</v>
      </c>
      <c r="I406" s="299">
        <v>10.4815</v>
      </c>
      <c r="J406" s="299">
        <v>12.3385</v>
      </c>
      <c r="K406" s="299">
        <v>15.793100000000001</v>
      </c>
      <c r="L406" s="299">
        <v>19.9575</v>
      </c>
      <c r="M406" s="299">
        <v>23.6402</v>
      </c>
      <c r="N406" s="300">
        <v>25.489899999999999</v>
      </c>
      <c r="O406" s="301">
        <v>17.63</v>
      </c>
    </row>
    <row r="407" spans="1:15" ht="15" x14ac:dyDescent="0.25">
      <c r="A407" s="40">
        <f t="shared" si="65"/>
        <v>1620</v>
      </c>
      <c r="B407" s="108">
        <v>20</v>
      </c>
      <c r="C407" s="298">
        <v>25.505800000000001</v>
      </c>
      <c r="D407" s="299">
        <v>22.270900000000001</v>
      </c>
      <c r="E407" s="299">
        <v>19.7273</v>
      </c>
      <c r="F407" s="299">
        <v>16.109100000000002</v>
      </c>
      <c r="G407" s="299">
        <v>11.8546</v>
      </c>
      <c r="H407" s="299">
        <v>10.1625</v>
      </c>
      <c r="I407" s="299">
        <v>11.085900000000001</v>
      </c>
      <c r="J407" s="299">
        <v>12.829800000000001</v>
      </c>
      <c r="K407" s="299">
        <v>16.1541</v>
      </c>
      <c r="L407" s="299">
        <v>20.054500000000001</v>
      </c>
      <c r="M407" s="299">
        <v>23.391200000000001</v>
      </c>
      <c r="N407" s="300">
        <v>24.9985</v>
      </c>
      <c r="O407" s="301">
        <v>17.824200000000001</v>
      </c>
    </row>
    <row r="408" spans="1:15" ht="15" x14ac:dyDescent="0.25">
      <c r="A408" s="40">
        <f t="shared" si="65"/>
        <v>1625</v>
      </c>
      <c r="B408" s="108">
        <v>25</v>
      </c>
      <c r="C408" s="302">
        <v>24.9282</v>
      </c>
      <c r="D408" s="303">
        <v>22.085699999999999</v>
      </c>
      <c r="E408" s="303">
        <v>19.918800000000001</v>
      </c>
      <c r="F408" s="303">
        <v>16.5715</v>
      </c>
      <c r="G408" s="303">
        <v>12.339700000000001</v>
      </c>
      <c r="H408" s="303">
        <v>10.657299999999999</v>
      </c>
      <c r="I408" s="303">
        <v>11.623200000000001</v>
      </c>
      <c r="J408" s="303">
        <v>13.2456</v>
      </c>
      <c r="K408" s="303">
        <v>16.4194</v>
      </c>
      <c r="L408" s="303">
        <v>20.031700000000001</v>
      </c>
      <c r="M408" s="303">
        <v>23.0017</v>
      </c>
      <c r="N408" s="304">
        <v>24.358899999999998</v>
      </c>
      <c r="O408" s="305">
        <v>17.9116</v>
      </c>
    </row>
    <row r="409" spans="1:15" ht="15" x14ac:dyDescent="0.25">
      <c r="A409" s="40">
        <f t="shared" si="65"/>
        <v>1630</v>
      </c>
      <c r="B409" s="108">
        <v>30</v>
      </c>
      <c r="C409" s="298">
        <v>24.200399999999998</v>
      </c>
      <c r="D409" s="299">
        <v>21.768899999999999</v>
      </c>
      <c r="E409" s="299">
        <v>19.989599999999999</v>
      </c>
      <c r="F409" s="299">
        <v>16.932400000000001</v>
      </c>
      <c r="G409" s="299">
        <v>12.7507</v>
      </c>
      <c r="H409" s="299">
        <v>11.087999999999999</v>
      </c>
      <c r="I409" s="299">
        <v>12.0891</v>
      </c>
      <c r="J409" s="299">
        <v>13.582599999999999</v>
      </c>
      <c r="K409" s="299">
        <v>16.587</v>
      </c>
      <c r="L409" s="299">
        <v>19.889299999999999</v>
      </c>
      <c r="M409" s="299">
        <v>22.474599999999999</v>
      </c>
      <c r="N409" s="300">
        <v>23.592700000000001</v>
      </c>
      <c r="O409" s="301">
        <v>17.892900000000001</v>
      </c>
    </row>
    <row r="410" spans="1:15" ht="15" x14ac:dyDescent="0.25">
      <c r="A410" s="40">
        <f t="shared" si="65"/>
        <v>1635</v>
      </c>
      <c r="B410" s="108">
        <v>35</v>
      </c>
      <c r="C410" s="298">
        <v>23.3489</v>
      </c>
      <c r="D410" s="299">
        <v>21.3248</v>
      </c>
      <c r="E410" s="299">
        <v>19.939</v>
      </c>
      <c r="F410" s="299">
        <v>17.1892</v>
      </c>
      <c r="G410" s="299">
        <v>13.0847</v>
      </c>
      <c r="H410" s="299">
        <v>11.4514</v>
      </c>
      <c r="I410" s="299">
        <v>12.4803</v>
      </c>
      <c r="J410" s="299">
        <v>13.8383</v>
      </c>
      <c r="K410" s="299">
        <v>16.6556</v>
      </c>
      <c r="L410" s="299">
        <v>19.628299999999999</v>
      </c>
      <c r="M410" s="299">
        <v>21.814</v>
      </c>
      <c r="N410" s="300">
        <v>22.6921</v>
      </c>
      <c r="O410" s="301">
        <v>17.769200000000001</v>
      </c>
    </row>
    <row r="411" spans="1:15" ht="15" x14ac:dyDescent="0.25">
      <c r="A411" s="40">
        <f t="shared" si="65"/>
        <v>1640</v>
      </c>
      <c r="B411" s="108">
        <v>40</v>
      </c>
      <c r="C411" s="298">
        <v>22.3902</v>
      </c>
      <c r="D411" s="299">
        <v>20.765999999999998</v>
      </c>
      <c r="E411" s="299">
        <v>19.767299999999999</v>
      </c>
      <c r="F411" s="299">
        <v>17.3399</v>
      </c>
      <c r="G411" s="299">
        <v>13.339</v>
      </c>
      <c r="H411" s="299">
        <v>11.7448</v>
      </c>
      <c r="I411" s="299">
        <v>12.791</v>
      </c>
      <c r="J411" s="299">
        <v>14.0107</v>
      </c>
      <c r="K411" s="299">
        <v>16.624700000000001</v>
      </c>
      <c r="L411" s="299">
        <v>19.250699999999998</v>
      </c>
      <c r="M411" s="299">
        <v>21.024799999999999</v>
      </c>
      <c r="N411" s="300">
        <v>21.658200000000001</v>
      </c>
      <c r="O411" s="301">
        <v>17.542200000000001</v>
      </c>
    </row>
    <row r="412" spans="1:15" ht="15" x14ac:dyDescent="0.25">
      <c r="A412" s="40">
        <f t="shared" si="65"/>
        <v>1645</v>
      </c>
      <c r="B412" s="108">
        <v>45</v>
      </c>
      <c r="C412" s="298">
        <v>21.316600000000001</v>
      </c>
      <c r="D412" s="299">
        <v>20.085799999999999</v>
      </c>
      <c r="E412" s="299">
        <v>19.475999999999999</v>
      </c>
      <c r="F412" s="299">
        <v>17.383400000000002</v>
      </c>
      <c r="G412" s="299">
        <v>13.5114</v>
      </c>
      <c r="H412" s="299">
        <v>11.9641</v>
      </c>
      <c r="I412" s="299">
        <v>13.0166</v>
      </c>
      <c r="J412" s="299">
        <v>14.098599999999999</v>
      </c>
      <c r="K412" s="299">
        <v>16.494599999999998</v>
      </c>
      <c r="L412" s="299">
        <v>18.759499999999999</v>
      </c>
      <c r="M412" s="299">
        <v>20.113099999999999</v>
      </c>
      <c r="N412" s="300">
        <v>20.513400000000001</v>
      </c>
      <c r="O412" s="301">
        <v>17.212299999999999</v>
      </c>
    </row>
    <row r="413" spans="1:15" ht="15" x14ac:dyDescent="0.25">
      <c r="A413" s="40">
        <f t="shared" si="65"/>
        <v>1650</v>
      </c>
      <c r="B413" s="108">
        <v>50</v>
      </c>
      <c r="C413" s="298">
        <v>20.1187</v>
      </c>
      <c r="D413" s="299">
        <v>19.289300000000001</v>
      </c>
      <c r="E413" s="299">
        <v>19.0672</v>
      </c>
      <c r="F413" s="299">
        <v>17.319299999999998</v>
      </c>
      <c r="G413" s="299">
        <v>13.599299999999999</v>
      </c>
      <c r="H413" s="299">
        <v>12.0999</v>
      </c>
      <c r="I413" s="299">
        <v>13.1548</v>
      </c>
      <c r="J413" s="299">
        <v>14.1013</v>
      </c>
      <c r="K413" s="299">
        <v>16.266100000000002</v>
      </c>
      <c r="L413" s="299">
        <v>18.158200000000001</v>
      </c>
      <c r="M413" s="299">
        <v>19.086300000000001</v>
      </c>
      <c r="N413" s="300">
        <v>19.278500000000001</v>
      </c>
      <c r="O413" s="301">
        <v>16.780999999999999</v>
      </c>
    </row>
    <row r="414" spans="1:15" ht="15" x14ac:dyDescent="0.25">
      <c r="A414" s="40">
        <f t="shared" si="65"/>
        <v>1655</v>
      </c>
      <c r="B414" s="108">
        <v>55</v>
      </c>
      <c r="C414" s="298">
        <v>18.805499999999999</v>
      </c>
      <c r="D414" s="299">
        <v>18.3826</v>
      </c>
      <c r="E414" s="299">
        <v>18.544</v>
      </c>
      <c r="F414" s="299">
        <v>17.148099999999999</v>
      </c>
      <c r="G414" s="299">
        <v>13.6029</v>
      </c>
      <c r="H414" s="299">
        <v>12.159800000000001</v>
      </c>
      <c r="I414" s="299">
        <v>13.208</v>
      </c>
      <c r="J414" s="299">
        <v>14.018700000000001</v>
      </c>
      <c r="K414" s="299">
        <v>15.9412</v>
      </c>
      <c r="L414" s="299">
        <v>17.451599999999999</v>
      </c>
      <c r="M414" s="299">
        <v>17.964500000000001</v>
      </c>
      <c r="N414" s="300">
        <v>17.944099999999999</v>
      </c>
      <c r="O414" s="301">
        <v>16.251899999999999</v>
      </c>
    </row>
    <row r="415" spans="1:15" ht="15" x14ac:dyDescent="0.25">
      <c r="A415" s="40">
        <f t="shared" si="65"/>
        <v>1660</v>
      </c>
      <c r="B415" s="108">
        <v>60</v>
      </c>
      <c r="C415" s="298">
        <v>17.3872</v>
      </c>
      <c r="D415" s="299">
        <v>17.372699999999998</v>
      </c>
      <c r="E415" s="299">
        <v>17.910399999999999</v>
      </c>
      <c r="F415" s="299">
        <v>16.871200000000002</v>
      </c>
      <c r="G415" s="299">
        <v>13.523199999999999</v>
      </c>
      <c r="H415" s="299">
        <v>12.1457</v>
      </c>
      <c r="I415" s="299">
        <v>13.1792</v>
      </c>
      <c r="J415" s="299">
        <v>13.8515</v>
      </c>
      <c r="K415" s="299">
        <v>15.5221</v>
      </c>
      <c r="L415" s="299">
        <v>16.645</v>
      </c>
      <c r="M415" s="299">
        <v>16.781400000000001</v>
      </c>
      <c r="N415" s="300">
        <v>16.538900000000002</v>
      </c>
      <c r="O415" s="301">
        <v>15.6333</v>
      </c>
    </row>
    <row r="416" spans="1:15" ht="15" x14ac:dyDescent="0.25">
      <c r="A416" s="40">
        <f t="shared" si="65"/>
        <v>1665</v>
      </c>
      <c r="B416" s="108">
        <v>65</v>
      </c>
      <c r="C416" s="298">
        <v>15.885300000000001</v>
      </c>
      <c r="D416" s="299">
        <v>16.267099999999999</v>
      </c>
      <c r="E416" s="299">
        <v>17.171299999999999</v>
      </c>
      <c r="F416" s="299">
        <v>16.490600000000001</v>
      </c>
      <c r="G416" s="299">
        <v>13.3611</v>
      </c>
      <c r="H416" s="299">
        <v>12.0589</v>
      </c>
      <c r="I416" s="299">
        <v>13.070399999999999</v>
      </c>
      <c r="J416" s="299">
        <v>13.600899999999999</v>
      </c>
      <c r="K416" s="299">
        <v>15.0122</v>
      </c>
      <c r="L416" s="299">
        <v>15.746600000000001</v>
      </c>
      <c r="M416" s="299">
        <v>15.5329</v>
      </c>
      <c r="N416" s="300">
        <v>15.081899999999999</v>
      </c>
      <c r="O416" s="301">
        <v>14.930899999999999</v>
      </c>
    </row>
    <row r="417" spans="1:16" ht="15" x14ac:dyDescent="0.25">
      <c r="A417" s="40">
        <f t="shared" si="65"/>
        <v>1670</v>
      </c>
      <c r="B417" s="108">
        <v>70</v>
      </c>
      <c r="C417" s="298">
        <v>14.3345</v>
      </c>
      <c r="D417" s="299">
        <v>15.074299999999999</v>
      </c>
      <c r="E417" s="299">
        <v>16.3322</v>
      </c>
      <c r="F417" s="299">
        <v>16.0092</v>
      </c>
      <c r="G417" s="299">
        <v>13.118</v>
      </c>
      <c r="H417" s="299">
        <v>11.9009</v>
      </c>
      <c r="I417" s="299">
        <v>12.883599999999999</v>
      </c>
      <c r="J417" s="299">
        <v>13.2689</v>
      </c>
      <c r="K417" s="299">
        <v>14.4153</v>
      </c>
      <c r="L417" s="299">
        <v>14.7707</v>
      </c>
      <c r="M417" s="299">
        <v>14.2051</v>
      </c>
      <c r="N417" s="300">
        <v>13.5511</v>
      </c>
      <c r="O417" s="301">
        <v>14.148</v>
      </c>
    </row>
    <row r="418" spans="1:16" ht="15" x14ac:dyDescent="0.25">
      <c r="A418" s="40">
        <f t="shared" si="65"/>
        <v>1675</v>
      </c>
      <c r="B418" s="108">
        <v>75</v>
      </c>
      <c r="C418" s="298">
        <v>12.801</v>
      </c>
      <c r="D418" s="299">
        <v>13.805</v>
      </c>
      <c r="E418" s="299">
        <v>15.3996</v>
      </c>
      <c r="F418" s="299">
        <v>15.4307</v>
      </c>
      <c r="G418" s="299">
        <v>12.7959</v>
      </c>
      <c r="H418" s="299">
        <v>11.673</v>
      </c>
      <c r="I418" s="299">
        <v>12.6205</v>
      </c>
      <c r="J418" s="299">
        <v>12.858000000000001</v>
      </c>
      <c r="K418" s="299">
        <v>13.736000000000001</v>
      </c>
      <c r="L418" s="299">
        <v>13.722099999999999</v>
      </c>
      <c r="M418" s="299">
        <v>12.806699999999999</v>
      </c>
      <c r="N418" s="300">
        <v>12.007099999999999</v>
      </c>
      <c r="O418" s="301">
        <v>13.299300000000001</v>
      </c>
    </row>
    <row r="419" spans="1:16" ht="15" x14ac:dyDescent="0.25">
      <c r="A419" s="40">
        <f t="shared" si="65"/>
        <v>1680</v>
      </c>
      <c r="B419" s="108">
        <v>80</v>
      </c>
      <c r="C419" s="298">
        <v>11.220599999999999</v>
      </c>
      <c r="D419" s="299">
        <v>12.492800000000001</v>
      </c>
      <c r="E419" s="299">
        <v>14.380599999999999</v>
      </c>
      <c r="F419" s="299">
        <v>14.759600000000001</v>
      </c>
      <c r="G419" s="299">
        <v>12.3971</v>
      </c>
      <c r="H419" s="299">
        <v>11.376799999999999</v>
      </c>
      <c r="I419" s="299">
        <v>12.2829</v>
      </c>
      <c r="J419" s="299">
        <v>12.3713</v>
      </c>
      <c r="K419" s="299">
        <v>12.9794</v>
      </c>
      <c r="L419" s="299">
        <v>12.6059</v>
      </c>
      <c r="M419" s="299">
        <v>11.3573</v>
      </c>
      <c r="N419" s="300">
        <v>10.454499999999999</v>
      </c>
      <c r="O419" s="301">
        <v>12.3865</v>
      </c>
    </row>
    <row r="420" spans="1:16" ht="15" x14ac:dyDescent="0.25">
      <c r="A420" s="40">
        <f t="shared" si="65"/>
        <v>1685</v>
      </c>
      <c r="B420" s="109">
        <v>85</v>
      </c>
      <c r="C420" s="306">
        <v>9.6120999999999999</v>
      </c>
      <c r="D420" s="307">
        <v>11.147500000000001</v>
      </c>
      <c r="E420" s="307">
        <v>13.2828</v>
      </c>
      <c r="F420" s="307">
        <v>14.0008</v>
      </c>
      <c r="G420" s="307">
        <v>11.9245</v>
      </c>
      <c r="H420" s="307">
        <v>11.014099999999999</v>
      </c>
      <c r="I420" s="307">
        <v>11.8727</v>
      </c>
      <c r="J420" s="307">
        <v>11.8125</v>
      </c>
      <c r="K420" s="307">
        <v>12.151199999999999</v>
      </c>
      <c r="L420" s="307">
        <v>11.428800000000001</v>
      </c>
      <c r="M420" s="307">
        <v>9.9184000000000001</v>
      </c>
      <c r="N420" s="308">
        <v>8.9522999999999993</v>
      </c>
      <c r="O420" s="309">
        <v>11.425000000000001</v>
      </c>
    </row>
    <row r="421" spans="1:16" x14ac:dyDescent="0.2">
      <c r="A421" s="40">
        <f t="shared" si="65"/>
        <v>1690</v>
      </c>
      <c r="B421" s="40">
        <v>90</v>
      </c>
    </row>
    <row r="422" spans="1:16" x14ac:dyDescent="0.2">
      <c r="A422" s="40">
        <f t="shared" si="65"/>
        <v>1691</v>
      </c>
      <c r="B422" s="40">
        <v>91</v>
      </c>
      <c r="C422" s="111">
        <f>T17</f>
        <v>23.2</v>
      </c>
      <c r="D422" s="111">
        <f t="shared" ref="D422:O422" si="66">U17</f>
        <v>22.6</v>
      </c>
      <c r="E422" s="111">
        <f t="shared" si="66"/>
        <v>20.85</v>
      </c>
      <c r="F422" s="111">
        <f t="shared" si="66"/>
        <v>17.549999999999997</v>
      </c>
      <c r="G422" s="111">
        <f t="shared" si="66"/>
        <v>14.350000000000001</v>
      </c>
      <c r="H422" s="111">
        <f t="shared" si="66"/>
        <v>11.35</v>
      </c>
      <c r="I422" s="111">
        <f t="shared" si="66"/>
        <v>11.05</v>
      </c>
      <c r="J422" s="111">
        <f t="shared" si="66"/>
        <v>11.85</v>
      </c>
      <c r="K422" s="111">
        <f t="shared" si="66"/>
        <v>13.649999999999999</v>
      </c>
      <c r="L422" s="111">
        <f t="shared" si="66"/>
        <v>16.25</v>
      </c>
      <c r="M422" s="111">
        <f t="shared" si="66"/>
        <v>18.899999999999999</v>
      </c>
      <c r="N422" s="111">
        <f t="shared" si="66"/>
        <v>21.700000000000003</v>
      </c>
      <c r="O422" s="111">
        <f t="shared" si="66"/>
        <v>16.95</v>
      </c>
      <c r="P422" s="344" t="s">
        <v>686</v>
      </c>
    </row>
    <row r="423" spans="1:16" x14ac:dyDescent="0.2">
      <c r="A423" s="40">
        <f t="shared" si="65"/>
        <v>1692</v>
      </c>
      <c r="B423" s="40">
        <v>92</v>
      </c>
      <c r="C423" s="343">
        <f>T41</f>
        <v>28.4</v>
      </c>
      <c r="D423" s="343">
        <f t="shared" ref="D423:O423" si="67">U41</f>
        <v>28.5</v>
      </c>
      <c r="E423" s="343">
        <f t="shared" si="67"/>
        <v>26.1</v>
      </c>
      <c r="F423" s="343">
        <f t="shared" si="67"/>
        <v>21.7</v>
      </c>
      <c r="G423" s="343">
        <f t="shared" si="67"/>
        <v>16.600000000000001</v>
      </c>
      <c r="H423" s="343">
        <f t="shared" si="67"/>
        <v>12</v>
      </c>
      <c r="I423" s="343">
        <f t="shared" si="67"/>
        <v>9.3000000000000007</v>
      </c>
      <c r="J423" s="343">
        <f t="shared" si="67"/>
        <v>9.1999999999999993</v>
      </c>
      <c r="K423" s="343">
        <f t="shared" si="67"/>
        <v>11.7</v>
      </c>
      <c r="L423" s="343">
        <f t="shared" si="67"/>
        <v>16.100000000000001</v>
      </c>
      <c r="M423" s="343">
        <f t="shared" si="67"/>
        <v>21.3</v>
      </c>
      <c r="N423" s="343">
        <f t="shared" si="67"/>
        <v>25.8</v>
      </c>
      <c r="O423" s="343">
        <f t="shared" si="67"/>
        <v>0</v>
      </c>
    </row>
    <row r="425" spans="1:16" ht="15" x14ac:dyDescent="0.25">
      <c r="B425" s="311" t="s">
        <v>666</v>
      </c>
      <c r="C425" s="310"/>
      <c r="D425" s="310"/>
      <c r="E425" s="310"/>
      <c r="F425" s="310"/>
      <c r="G425" s="957" t="s">
        <v>613</v>
      </c>
      <c r="H425" s="957"/>
      <c r="I425" s="957"/>
      <c r="J425" s="957"/>
      <c r="K425" s="957"/>
      <c r="L425" s="957"/>
      <c r="M425" s="957"/>
      <c r="N425" s="957"/>
      <c r="O425" s="131">
        <v>17</v>
      </c>
    </row>
    <row r="426" spans="1:16" ht="14.25" x14ac:dyDescent="0.2">
      <c r="B426" s="310" t="s">
        <v>614</v>
      </c>
      <c r="C426" s="310" t="s">
        <v>667</v>
      </c>
      <c r="D426" s="310" t="s">
        <v>616</v>
      </c>
      <c r="E426" s="310" t="s">
        <v>668</v>
      </c>
      <c r="F426" s="310"/>
      <c r="G426" s="958" t="s">
        <v>618</v>
      </c>
      <c r="H426" s="958"/>
      <c r="I426" s="958"/>
      <c r="J426" s="958"/>
      <c r="K426" s="958"/>
      <c r="L426" s="958"/>
      <c r="M426" s="958"/>
      <c r="N426" s="958"/>
      <c r="O426" s="958"/>
    </row>
    <row r="427" spans="1:16" ht="15" x14ac:dyDescent="0.25">
      <c r="B427" s="312" t="s">
        <v>619</v>
      </c>
      <c r="C427" s="91" t="s">
        <v>4</v>
      </c>
      <c r="D427" s="91" t="s">
        <v>5</v>
      </c>
      <c r="E427" s="91" t="s">
        <v>6</v>
      </c>
      <c r="F427" s="91" t="s">
        <v>7</v>
      </c>
      <c r="G427" s="91" t="s">
        <v>8</v>
      </c>
      <c r="H427" s="91" t="s">
        <v>9</v>
      </c>
      <c r="I427" s="91" t="s">
        <v>10</v>
      </c>
      <c r="J427" s="91" t="s">
        <v>11</v>
      </c>
      <c r="K427" s="91" t="s">
        <v>12</v>
      </c>
      <c r="L427" s="91" t="s">
        <v>13</v>
      </c>
      <c r="M427" s="91" t="s">
        <v>14</v>
      </c>
      <c r="N427" s="91" t="s">
        <v>15</v>
      </c>
      <c r="O427" s="313" t="s">
        <v>620</v>
      </c>
    </row>
    <row r="428" spans="1:16" ht="15" x14ac:dyDescent="0.25">
      <c r="A428" s="40">
        <f>O$425*100+B428</f>
        <v>1700</v>
      </c>
      <c r="B428" s="108">
        <v>0</v>
      </c>
      <c r="C428" s="314">
        <v>26.450500000000002</v>
      </c>
      <c r="D428" s="315">
        <v>22.0184</v>
      </c>
      <c r="E428" s="315">
        <v>18.333200000000001</v>
      </c>
      <c r="F428" s="315">
        <v>13.6136</v>
      </c>
      <c r="G428" s="315">
        <v>9.7327999999999992</v>
      </c>
      <c r="H428" s="315">
        <v>7.9314</v>
      </c>
      <c r="I428" s="315">
        <v>8.8836999999999993</v>
      </c>
      <c r="J428" s="315">
        <v>11.060600000000001</v>
      </c>
      <c r="K428" s="315">
        <v>14.990600000000001</v>
      </c>
      <c r="L428" s="315">
        <v>19.317</v>
      </c>
      <c r="M428" s="315">
        <v>23.970700000000001</v>
      </c>
      <c r="N428" s="316">
        <v>25.701899999999998</v>
      </c>
      <c r="O428" s="317">
        <v>16.809799999999999</v>
      </c>
    </row>
    <row r="429" spans="1:16" ht="15" x14ac:dyDescent="0.25">
      <c r="A429" s="40">
        <f t="shared" ref="A429:A448" si="68">O$425*100+B429</f>
        <v>1705</v>
      </c>
      <c r="B429" s="108">
        <v>5</v>
      </c>
      <c r="C429" s="314">
        <v>26.488499999999998</v>
      </c>
      <c r="D429" s="315">
        <v>22.3596</v>
      </c>
      <c r="E429" s="315">
        <v>19.012699999999999</v>
      </c>
      <c r="F429" s="315">
        <v>14.4519</v>
      </c>
      <c r="G429" s="315">
        <v>10.535299999999999</v>
      </c>
      <c r="H429" s="315">
        <v>8.6515000000000004</v>
      </c>
      <c r="I429" s="315">
        <v>9.7422000000000004</v>
      </c>
      <c r="J429" s="315">
        <v>11.8058</v>
      </c>
      <c r="K429" s="315">
        <v>15.669</v>
      </c>
      <c r="L429" s="315">
        <v>19.760999999999999</v>
      </c>
      <c r="M429" s="315">
        <v>24.139700000000001</v>
      </c>
      <c r="N429" s="316">
        <v>25.652699999999999</v>
      </c>
      <c r="O429" s="317">
        <v>17.332599999999999</v>
      </c>
    </row>
    <row r="430" spans="1:16" ht="15" x14ac:dyDescent="0.25">
      <c r="A430" s="40">
        <f t="shared" si="68"/>
        <v>1710</v>
      </c>
      <c r="B430" s="108">
        <v>10</v>
      </c>
      <c r="C430" s="314">
        <v>26.3626</v>
      </c>
      <c r="D430" s="315">
        <v>22.566299999999998</v>
      </c>
      <c r="E430" s="315">
        <v>19.577000000000002</v>
      </c>
      <c r="F430" s="315">
        <v>15.204800000000001</v>
      </c>
      <c r="G430" s="315">
        <v>11.2774</v>
      </c>
      <c r="H430" s="315">
        <v>9.3233999999999995</v>
      </c>
      <c r="I430" s="315">
        <v>10.5436</v>
      </c>
      <c r="J430" s="315">
        <v>12.4833</v>
      </c>
      <c r="K430" s="315">
        <v>16.254999999999999</v>
      </c>
      <c r="L430" s="315">
        <v>20.0871</v>
      </c>
      <c r="M430" s="315">
        <v>24.1615</v>
      </c>
      <c r="N430" s="316">
        <v>25.446899999999999</v>
      </c>
      <c r="O430" s="317">
        <v>17.7515</v>
      </c>
    </row>
    <row r="431" spans="1:16" ht="15" x14ac:dyDescent="0.25">
      <c r="A431" s="40">
        <f t="shared" si="68"/>
        <v>1715</v>
      </c>
      <c r="B431" s="108">
        <v>15</v>
      </c>
      <c r="C431" s="314">
        <v>26.073599999999999</v>
      </c>
      <c r="D431" s="315">
        <v>22.636900000000001</v>
      </c>
      <c r="E431" s="315">
        <v>20.021899999999999</v>
      </c>
      <c r="F431" s="315">
        <v>15.8665</v>
      </c>
      <c r="G431" s="315">
        <v>11.9535</v>
      </c>
      <c r="H431" s="315">
        <v>9.9420000000000002</v>
      </c>
      <c r="I431" s="315">
        <v>11.282</v>
      </c>
      <c r="J431" s="315">
        <v>13.087999999999999</v>
      </c>
      <c r="K431" s="315">
        <v>16.7441</v>
      </c>
      <c r="L431" s="315">
        <v>20.2927</v>
      </c>
      <c r="M431" s="315">
        <v>24.035799999999998</v>
      </c>
      <c r="N431" s="316">
        <v>25.085899999999999</v>
      </c>
      <c r="O431" s="317">
        <v>18.063600000000001</v>
      </c>
    </row>
    <row r="432" spans="1:16" ht="15" x14ac:dyDescent="0.25">
      <c r="A432" s="40">
        <f t="shared" si="68"/>
        <v>1720</v>
      </c>
      <c r="B432" s="108">
        <v>20</v>
      </c>
      <c r="C432" s="314">
        <v>25.623899999999999</v>
      </c>
      <c r="D432" s="315">
        <v>22.570900000000002</v>
      </c>
      <c r="E432" s="315">
        <v>20.343900000000001</v>
      </c>
      <c r="F432" s="315">
        <v>16.431999999999999</v>
      </c>
      <c r="G432" s="315">
        <v>12.558400000000001</v>
      </c>
      <c r="H432" s="315">
        <v>10.502599999999999</v>
      </c>
      <c r="I432" s="315">
        <v>11.951599999999999</v>
      </c>
      <c r="J432" s="315">
        <v>13.6152</v>
      </c>
      <c r="K432" s="315">
        <v>17.1327</v>
      </c>
      <c r="L432" s="315">
        <v>20.3765</v>
      </c>
      <c r="M432" s="315">
        <v>23.7636</v>
      </c>
      <c r="N432" s="316">
        <v>24.572600000000001</v>
      </c>
      <c r="O432" s="317">
        <v>18.266300000000001</v>
      </c>
    </row>
    <row r="433" spans="1:16" ht="15" x14ac:dyDescent="0.25">
      <c r="A433" s="40">
        <f t="shared" si="68"/>
        <v>1725</v>
      </c>
      <c r="B433" s="108">
        <v>25</v>
      </c>
      <c r="C433" s="318">
        <v>25.0168</v>
      </c>
      <c r="D433" s="319">
        <v>22.3688</v>
      </c>
      <c r="E433" s="319">
        <v>20.540600000000001</v>
      </c>
      <c r="F433" s="319">
        <v>16.896799999999999</v>
      </c>
      <c r="G433" s="319">
        <v>13.0876</v>
      </c>
      <c r="H433" s="319">
        <v>11.0008</v>
      </c>
      <c r="I433" s="319">
        <v>12.5473</v>
      </c>
      <c r="J433" s="319">
        <v>14.061</v>
      </c>
      <c r="K433" s="319">
        <v>17.4176</v>
      </c>
      <c r="L433" s="319">
        <v>20.337599999999998</v>
      </c>
      <c r="M433" s="319">
        <v>23.347000000000001</v>
      </c>
      <c r="N433" s="320">
        <v>23.912500000000001</v>
      </c>
      <c r="O433" s="321">
        <v>18.3584</v>
      </c>
    </row>
    <row r="434" spans="1:16" ht="15" x14ac:dyDescent="0.25">
      <c r="A434" s="40">
        <f t="shared" si="68"/>
        <v>1730</v>
      </c>
      <c r="B434" s="108">
        <v>30</v>
      </c>
      <c r="C434" s="314">
        <v>24.256900000000002</v>
      </c>
      <c r="D434" s="315">
        <v>22.0322</v>
      </c>
      <c r="E434" s="315">
        <v>20.610600000000002</v>
      </c>
      <c r="F434" s="315">
        <v>17.2576</v>
      </c>
      <c r="G434" s="315">
        <v>13.536899999999999</v>
      </c>
      <c r="H434" s="315">
        <v>11.433</v>
      </c>
      <c r="I434" s="315">
        <v>13.0648</v>
      </c>
      <c r="J434" s="315">
        <v>14.421900000000001</v>
      </c>
      <c r="K434" s="315">
        <v>17.596900000000002</v>
      </c>
      <c r="L434" s="315">
        <v>20.176400000000001</v>
      </c>
      <c r="M434" s="315">
        <v>22.789100000000001</v>
      </c>
      <c r="N434" s="316">
        <v>23.1264</v>
      </c>
      <c r="O434" s="317">
        <v>18.340299999999999</v>
      </c>
    </row>
    <row r="435" spans="1:16" ht="15" x14ac:dyDescent="0.25">
      <c r="A435" s="40">
        <f t="shared" si="68"/>
        <v>1735</v>
      </c>
      <c r="B435" s="108">
        <v>35</v>
      </c>
      <c r="C435" s="314">
        <v>23.3767</v>
      </c>
      <c r="D435" s="315">
        <v>21.563500000000001</v>
      </c>
      <c r="E435" s="315">
        <v>20.5533</v>
      </c>
      <c r="F435" s="315">
        <v>17.511600000000001</v>
      </c>
      <c r="G435" s="315">
        <v>13.903</v>
      </c>
      <c r="H435" s="315">
        <v>11.7959</v>
      </c>
      <c r="I435" s="315">
        <v>13.4999</v>
      </c>
      <c r="J435" s="315">
        <v>14.6952</v>
      </c>
      <c r="K435" s="315">
        <v>17.669</v>
      </c>
      <c r="L435" s="315">
        <v>19.894200000000001</v>
      </c>
      <c r="M435" s="315">
        <v>22.094200000000001</v>
      </c>
      <c r="N435" s="316">
        <v>22.215599999999998</v>
      </c>
      <c r="O435" s="317">
        <v>18.214200000000002</v>
      </c>
    </row>
    <row r="436" spans="1:16" ht="15" x14ac:dyDescent="0.25">
      <c r="A436" s="40">
        <f t="shared" si="68"/>
        <v>1740</v>
      </c>
      <c r="B436" s="108">
        <v>40</v>
      </c>
      <c r="C436" s="314">
        <v>22.401499999999999</v>
      </c>
      <c r="D436" s="315">
        <v>20.970800000000001</v>
      </c>
      <c r="E436" s="315">
        <v>20.369</v>
      </c>
      <c r="F436" s="315">
        <v>17.6568</v>
      </c>
      <c r="G436" s="315">
        <v>14.182499999999999</v>
      </c>
      <c r="H436" s="315">
        <v>12.086600000000001</v>
      </c>
      <c r="I436" s="315">
        <v>13.8439</v>
      </c>
      <c r="J436" s="315">
        <v>14.8788</v>
      </c>
      <c r="K436" s="315">
        <v>17.633500000000002</v>
      </c>
      <c r="L436" s="315">
        <v>19.492999999999999</v>
      </c>
      <c r="M436" s="315">
        <v>21.267700000000001</v>
      </c>
      <c r="N436" s="316">
        <v>21.1798</v>
      </c>
      <c r="O436" s="317">
        <v>17.9817</v>
      </c>
    </row>
    <row r="437" spans="1:16" ht="15" x14ac:dyDescent="0.25">
      <c r="A437" s="40">
        <f t="shared" si="68"/>
        <v>1745</v>
      </c>
      <c r="B437" s="108">
        <v>45</v>
      </c>
      <c r="C437" s="314">
        <v>21.297799999999999</v>
      </c>
      <c r="D437" s="315">
        <v>20.260300000000001</v>
      </c>
      <c r="E437" s="315">
        <v>20.0593</v>
      </c>
      <c r="F437" s="315">
        <v>17.6921</v>
      </c>
      <c r="G437" s="315">
        <v>14.3698</v>
      </c>
      <c r="H437" s="315">
        <v>12.300599999999999</v>
      </c>
      <c r="I437" s="315">
        <v>14.0932</v>
      </c>
      <c r="J437" s="315">
        <v>14.971299999999999</v>
      </c>
      <c r="K437" s="315">
        <v>17.4907</v>
      </c>
      <c r="L437" s="315">
        <v>18.975999999999999</v>
      </c>
      <c r="M437" s="315">
        <v>20.3157</v>
      </c>
      <c r="N437" s="316">
        <v>20.0472</v>
      </c>
      <c r="O437" s="317">
        <v>17.642499999999998</v>
      </c>
    </row>
    <row r="438" spans="1:16" ht="15" x14ac:dyDescent="0.25">
      <c r="A438" s="40">
        <f t="shared" si="68"/>
        <v>1750</v>
      </c>
      <c r="B438" s="108">
        <v>50</v>
      </c>
      <c r="C438" s="314">
        <v>20.069600000000001</v>
      </c>
      <c r="D438" s="315">
        <v>19.4314</v>
      </c>
      <c r="E438" s="315">
        <v>19.6265</v>
      </c>
      <c r="F438" s="315">
        <v>17.6173</v>
      </c>
      <c r="G438" s="315">
        <v>14.4657</v>
      </c>
      <c r="H438" s="315">
        <v>12.4293</v>
      </c>
      <c r="I438" s="315">
        <v>14.245699999999999</v>
      </c>
      <c r="J438" s="315">
        <v>14.972099999999999</v>
      </c>
      <c r="K438" s="315">
        <v>17.241499999999998</v>
      </c>
      <c r="L438" s="315">
        <v>18.347000000000001</v>
      </c>
      <c r="M438" s="315">
        <v>19.253</v>
      </c>
      <c r="N438" s="316">
        <v>18.815999999999999</v>
      </c>
      <c r="O438" s="317">
        <v>17.197600000000001</v>
      </c>
    </row>
    <row r="439" spans="1:16" ht="15" x14ac:dyDescent="0.25">
      <c r="A439" s="40">
        <f t="shared" si="68"/>
        <v>1755</v>
      </c>
      <c r="B439" s="108">
        <v>55</v>
      </c>
      <c r="C439" s="314">
        <v>18.726299999999998</v>
      </c>
      <c r="D439" s="315">
        <v>18.490300000000001</v>
      </c>
      <c r="E439" s="315">
        <v>19.073899999999998</v>
      </c>
      <c r="F439" s="315">
        <v>17.4328</v>
      </c>
      <c r="G439" s="315">
        <v>14.4711</v>
      </c>
      <c r="H439" s="315">
        <v>12.4802</v>
      </c>
      <c r="I439" s="315">
        <v>14.305199999999999</v>
      </c>
      <c r="J439" s="315">
        <v>14.881</v>
      </c>
      <c r="K439" s="315">
        <v>16.888000000000002</v>
      </c>
      <c r="L439" s="315">
        <v>17.610900000000001</v>
      </c>
      <c r="M439" s="315">
        <v>18.097300000000001</v>
      </c>
      <c r="N439" s="316">
        <v>17.480399999999999</v>
      </c>
      <c r="O439" s="317">
        <v>16.651199999999999</v>
      </c>
    </row>
    <row r="440" spans="1:16" ht="15" x14ac:dyDescent="0.25">
      <c r="A440" s="40">
        <f t="shared" si="68"/>
        <v>1760</v>
      </c>
      <c r="B440" s="108">
        <v>60</v>
      </c>
      <c r="C440" s="314">
        <v>17.278099999999998</v>
      </c>
      <c r="D440" s="315">
        <v>17.444099999999999</v>
      </c>
      <c r="E440" s="315">
        <v>18.4056</v>
      </c>
      <c r="F440" s="315">
        <v>17.1403</v>
      </c>
      <c r="G440" s="315">
        <v>14.387</v>
      </c>
      <c r="H440" s="315">
        <v>12.4552</v>
      </c>
      <c r="I440" s="315">
        <v>14.2752</v>
      </c>
      <c r="J440" s="315">
        <v>14.6989</v>
      </c>
      <c r="K440" s="315">
        <v>16.4328</v>
      </c>
      <c r="L440" s="315">
        <v>16.774100000000001</v>
      </c>
      <c r="M440" s="315">
        <v>16.8628</v>
      </c>
      <c r="N440" s="316">
        <v>16.064299999999999</v>
      </c>
      <c r="O440" s="317">
        <v>16.009699999999999</v>
      </c>
    </row>
    <row r="441" spans="1:16" ht="15" x14ac:dyDescent="0.25">
      <c r="A441" s="40">
        <f t="shared" si="68"/>
        <v>1765</v>
      </c>
      <c r="B441" s="108">
        <v>65</v>
      </c>
      <c r="C441" s="314">
        <v>15.742000000000001</v>
      </c>
      <c r="D441" s="315">
        <v>16.300799999999999</v>
      </c>
      <c r="E441" s="315">
        <v>17.626799999999999</v>
      </c>
      <c r="F441" s="315">
        <v>16.741800000000001</v>
      </c>
      <c r="G441" s="315">
        <v>14.214600000000001</v>
      </c>
      <c r="H441" s="315">
        <v>12.3559</v>
      </c>
      <c r="I441" s="315">
        <v>14.157999999999999</v>
      </c>
      <c r="J441" s="315">
        <v>14.427099999999999</v>
      </c>
      <c r="K441" s="315">
        <v>15.879300000000001</v>
      </c>
      <c r="L441" s="315">
        <v>15.8475</v>
      </c>
      <c r="M441" s="315">
        <v>15.5642</v>
      </c>
      <c r="N441" s="316">
        <v>14.6083</v>
      </c>
      <c r="O441" s="317">
        <v>15.2822</v>
      </c>
    </row>
    <row r="442" spans="1:16" ht="15" x14ac:dyDescent="0.25">
      <c r="A442" s="40">
        <f t="shared" si="68"/>
        <v>1770</v>
      </c>
      <c r="B442" s="108">
        <v>70</v>
      </c>
      <c r="C442" s="314">
        <v>14.1896</v>
      </c>
      <c r="D442" s="315">
        <v>15.0692</v>
      </c>
      <c r="E442" s="315">
        <v>16.743400000000001</v>
      </c>
      <c r="F442" s="315">
        <v>16.240300000000001</v>
      </c>
      <c r="G442" s="315">
        <v>13.955500000000001</v>
      </c>
      <c r="H442" s="315">
        <v>12.1837</v>
      </c>
      <c r="I442" s="315">
        <v>13.955500000000001</v>
      </c>
      <c r="J442" s="315">
        <v>14.067600000000001</v>
      </c>
      <c r="K442" s="315">
        <v>15.2318</v>
      </c>
      <c r="L442" s="315">
        <v>14.84</v>
      </c>
      <c r="M442" s="315">
        <v>14.189</v>
      </c>
      <c r="N442" s="316">
        <v>13.0997</v>
      </c>
      <c r="O442" s="317">
        <v>14.4758</v>
      </c>
    </row>
    <row r="443" spans="1:16" ht="15" x14ac:dyDescent="0.25">
      <c r="A443" s="40">
        <f t="shared" si="68"/>
        <v>1775</v>
      </c>
      <c r="B443" s="108">
        <v>75</v>
      </c>
      <c r="C443" s="314">
        <v>12.634499999999999</v>
      </c>
      <c r="D443" s="315">
        <v>13.7661</v>
      </c>
      <c r="E443" s="315">
        <v>15.7621</v>
      </c>
      <c r="F443" s="315">
        <v>15.639799999999999</v>
      </c>
      <c r="G443" s="315">
        <v>13.6119</v>
      </c>
      <c r="H443" s="315">
        <v>11.940099999999999</v>
      </c>
      <c r="I443" s="315">
        <v>13.6694</v>
      </c>
      <c r="J443" s="315">
        <v>13.623200000000001</v>
      </c>
      <c r="K443" s="315">
        <v>14.495200000000001</v>
      </c>
      <c r="L443" s="315">
        <v>13.757899999999999</v>
      </c>
      <c r="M443" s="315">
        <v>12.742800000000001</v>
      </c>
      <c r="N443" s="316">
        <v>11.586399999999999</v>
      </c>
      <c r="O443" s="317">
        <v>13.6</v>
      </c>
    </row>
    <row r="444" spans="1:16" ht="15" x14ac:dyDescent="0.25">
      <c r="A444" s="40">
        <f t="shared" si="68"/>
        <v>1780</v>
      </c>
      <c r="B444" s="108">
        <v>80</v>
      </c>
      <c r="C444" s="314">
        <v>11.0298</v>
      </c>
      <c r="D444" s="315">
        <v>12.4186</v>
      </c>
      <c r="E444" s="315">
        <v>14.6904</v>
      </c>
      <c r="F444" s="315">
        <v>14.944699999999999</v>
      </c>
      <c r="G444" s="315">
        <v>13.186199999999999</v>
      </c>
      <c r="H444" s="315">
        <v>11.626799999999999</v>
      </c>
      <c r="I444" s="315">
        <v>13.3018</v>
      </c>
      <c r="J444" s="315">
        <v>13.097300000000001</v>
      </c>
      <c r="K444" s="315">
        <v>13.6752</v>
      </c>
      <c r="L444" s="315">
        <v>12.606999999999999</v>
      </c>
      <c r="M444" s="315">
        <v>11.2578</v>
      </c>
      <c r="N444" s="316">
        <v>10.0419</v>
      </c>
      <c r="O444" s="317">
        <v>12.656000000000001</v>
      </c>
    </row>
    <row r="445" spans="1:16" ht="15" x14ac:dyDescent="0.25">
      <c r="A445" s="40">
        <f t="shared" si="68"/>
        <v>1785</v>
      </c>
      <c r="B445" s="109">
        <v>85</v>
      </c>
      <c r="C445" s="322">
        <v>9.3989999999999991</v>
      </c>
      <c r="D445" s="323">
        <v>11.037100000000001</v>
      </c>
      <c r="E445" s="323">
        <v>13.5364</v>
      </c>
      <c r="F445" s="323">
        <v>14.160500000000001</v>
      </c>
      <c r="G445" s="323">
        <v>12.6815</v>
      </c>
      <c r="H445" s="323">
        <v>11.245799999999999</v>
      </c>
      <c r="I445" s="323">
        <v>12.854799999999999</v>
      </c>
      <c r="J445" s="323">
        <v>12.4938</v>
      </c>
      <c r="K445" s="323">
        <v>12.777900000000001</v>
      </c>
      <c r="L445" s="323">
        <v>11.3949</v>
      </c>
      <c r="M445" s="323">
        <v>9.7786000000000008</v>
      </c>
      <c r="N445" s="324">
        <v>8.5573999999999995</v>
      </c>
      <c r="O445" s="325">
        <v>11.661300000000001</v>
      </c>
    </row>
    <row r="446" spans="1:16" x14ac:dyDescent="0.2">
      <c r="A446" s="40">
        <f t="shared" si="68"/>
        <v>1790</v>
      </c>
      <c r="B446" s="40">
        <v>90</v>
      </c>
    </row>
    <row r="447" spans="1:16" x14ac:dyDescent="0.2">
      <c r="A447" s="40">
        <f t="shared" si="68"/>
        <v>1791</v>
      </c>
      <c r="B447" s="40">
        <v>91</v>
      </c>
      <c r="C447" s="107">
        <f>T18</f>
        <v>24.3</v>
      </c>
      <c r="D447" s="107">
        <f t="shared" ref="D447:O447" si="69">U18</f>
        <v>23.3</v>
      </c>
      <c r="E447" s="107">
        <f t="shared" si="69"/>
        <v>20.9</v>
      </c>
      <c r="F447" s="107">
        <f t="shared" si="69"/>
        <v>17.2</v>
      </c>
      <c r="G447" s="107">
        <f t="shared" si="69"/>
        <v>13.9</v>
      </c>
      <c r="H447" s="107">
        <f t="shared" si="69"/>
        <v>10.9</v>
      </c>
      <c r="I447" s="107">
        <f t="shared" si="69"/>
        <v>11.1</v>
      </c>
      <c r="J447" s="107">
        <f t="shared" si="69"/>
        <v>12.1</v>
      </c>
      <c r="K447" s="107">
        <f t="shared" si="69"/>
        <v>13.9</v>
      </c>
      <c r="L447" s="107">
        <f t="shared" si="69"/>
        <v>16.8</v>
      </c>
      <c r="M447" s="107">
        <f t="shared" si="69"/>
        <v>19.8</v>
      </c>
      <c r="N447" s="107">
        <f t="shared" si="69"/>
        <v>22.8</v>
      </c>
      <c r="O447" s="107">
        <f t="shared" si="69"/>
        <v>17.3</v>
      </c>
      <c r="P447" s="41" t="s">
        <v>682</v>
      </c>
    </row>
    <row r="448" spans="1:16" x14ac:dyDescent="0.2">
      <c r="A448" s="40">
        <f t="shared" si="68"/>
        <v>1792</v>
      </c>
      <c r="B448" s="40">
        <v>92</v>
      </c>
      <c r="C448" s="343">
        <f>T42</f>
        <v>28.4</v>
      </c>
      <c r="D448" s="343">
        <f t="shared" ref="D448:O448" si="70">U42</f>
        <v>28.5</v>
      </c>
      <c r="E448" s="343">
        <f t="shared" si="70"/>
        <v>26.1</v>
      </c>
      <c r="F448" s="343">
        <f t="shared" si="70"/>
        <v>21.7</v>
      </c>
      <c r="G448" s="343">
        <f t="shared" si="70"/>
        <v>16.600000000000001</v>
      </c>
      <c r="H448" s="343">
        <f t="shared" si="70"/>
        <v>12</v>
      </c>
      <c r="I448" s="343">
        <f t="shared" si="70"/>
        <v>9.3000000000000007</v>
      </c>
      <c r="J448" s="343">
        <f t="shared" si="70"/>
        <v>9.1999999999999993</v>
      </c>
      <c r="K448" s="343">
        <f t="shared" si="70"/>
        <v>11.7</v>
      </c>
      <c r="L448" s="343">
        <f t="shared" si="70"/>
        <v>16.100000000000001</v>
      </c>
      <c r="M448" s="343">
        <f t="shared" si="70"/>
        <v>21.3</v>
      </c>
      <c r="N448" s="343">
        <f t="shared" si="70"/>
        <v>25.8</v>
      </c>
      <c r="O448" s="343">
        <f t="shared" si="70"/>
        <v>0</v>
      </c>
    </row>
    <row r="450" spans="1:15" ht="15" x14ac:dyDescent="0.25">
      <c r="B450" s="327" t="s">
        <v>669</v>
      </c>
      <c r="C450" s="326"/>
      <c r="D450" s="326"/>
      <c r="E450" s="326"/>
      <c r="F450" s="326"/>
      <c r="G450" s="957" t="s">
        <v>613</v>
      </c>
      <c r="H450" s="957"/>
      <c r="I450" s="957"/>
      <c r="J450" s="957"/>
      <c r="K450" s="957"/>
      <c r="L450" s="957"/>
      <c r="M450" s="957"/>
      <c r="N450" s="957"/>
      <c r="O450" s="131">
        <v>18</v>
      </c>
    </row>
    <row r="451" spans="1:15" ht="14.25" x14ac:dyDescent="0.2">
      <c r="B451" s="326" t="s">
        <v>614</v>
      </c>
      <c r="C451" s="326" t="s">
        <v>670</v>
      </c>
      <c r="D451" s="326" t="s">
        <v>616</v>
      </c>
      <c r="E451" s="326" t="s">
        <v>671</v>
      </c>
      <c r="F451" s="326"/>
      <c r="G451" s="958" t="s">
        <v>618</v>
      </c>
      <c r="H451" s="958"/>
      <c r="I451" s="958"/>
      <c r="J451" s="958"/>
      <c r="K451" s="958"/>
      <c r="L451" s="958"/>
      <c r="M451" s="958"/>
      <c r="N451" s="958"/>
      <c r="O451" s="958"/>
    </row>
    <row r="452" spans="1:15" ht="15" x14ac:dyDescent="0.25">
      <c r="B452" s="328" t="s">
        <v>619</v>
      </c>
      <c r="C452" s="91" t="s">
        <v>4</v>
      </c>
      <c r="D452" s="91" t="s">
        <v>5</v>
      </c>
      <c r="E452" s="91" t="s">
        <v>6</v>
      </c>
      <c r="F452" s="91" t="s">
        <v>7</v>
      </c>
      <c r="G452" s="91" t="s">
        <v>8</v>
      </c>
      <c r="H452" s="91" t="s">
        <v>9</v>
      </c>
      <c r="I452" s="91" t="s">
        <v>10</v>
      </c>
      <c r="J452" s="91" t="s">
        <v>11</v>
      </c>
      <c r="K452" s="91" t="s">
        <v>12</v>
      </c>
      <c r="L452" s="91" t="s">
        <v>13</v>
      </c>
      <c r="M452" s="91" t="s">
        <v>14</v>
      </c>
      <c r="N452" s="91" t="s">
        <v>15</v>
      </c>
      <c r="O452" s="329" t="s">
        <v>620</v>
      </c>
    </row>
    <row r="453" spans="1:15" ht="15" x14ac:dyDescent="0.25">
      <c r="A453" s="40">
        <f>O$450*100+B453</f>
        <v>1800</v>
      </c>
      <c r="B453" s="108">
        <v>0</v>
      </c>
      <c r="C453" s="330">
        <v>25.671199999999999</v>
      </c>
      <c r="D453" s="331">
        <v>21.590699999999998</v>
      </c>
      <c r="E453" s="331">
        <v>17.989999999999998</v>
      </c>
      <c r="F453" s="331">
        <v>13.7342</v>
      </c>
      <c r="G453" s="331">
        <v>9.8431999999999995</v>
      </c>
      <c r="H453" s="331">
        <v>7.931</v>
      </c>
      <c r="I453" s="331">
        <v>9.1984999999999992</v>
      </c>
      <c r="J453" s="331">
        <v>11.001899999999999</v>
      </c>
      <c r="K453" s="331">
        <v>14.496700000000001</v>
      </c>
      <c r="L453" s="331">
        <v>18.7575</v>
      </c>
      <c r="M453" s="331">
        <v>23.6677</v>
      </c>
      <c r="N453" s="332">
        <v>25.863099999999999</v>
      </c>
      <c r="O453" s="333">
        <v>16.6233</v>
      </c>
    </row>
    <row r="454" spans="1:15" ht="15" x14ac:dyDescent="0.25">
      <c r="A454" s="40">
        <f t="shared" ref="A454:A473" si="71">O$450*100+B454</f>
        <v>1805</v>
      </c>
      <c r="B454" s="108">
        <v>5</v>
      </c>
      <c r="C454" s="330">
        <v>25.677</v>
      </c>
      <c r="D454" s="331">
        <v>21.890499999999999</v>
      </c>
      <c r="E454" s="331">
        <v>18.592400000000001</v>
      </c>
      <c r="F454" s="331">
        <v>14.5404</v>
      </c>
      <c r="G454" s="331">
        <v>10.5862</v>
      </c>
      <c r="H454" s="331">
        <v>8.5852000000000004</v>
      </c>
      <c r="I454" s="331">
        <v>10.0092</v>
      </c>
      <c r="J454" s="331">
        <v>11.6905</v>
      </c>
      <c r="K454" s="331">
        <v>15.0976</v>
      </c>
      <c r="L454" s="331">
        <v>19.148700000000002</v>
      </c>
      <c r="M454" s="331">
        <v>23.797699999999999</v>
      </c>
      <c r="N454" s="332">
        <v>25.794699999999999</v>
      </c>
      <c r="O454" s="333">
        <v>17.0959</v>
      </c>
    </row>
    <row r="455" spans="1:15" ht="15" x14ac:dyDescent="0.25">
      <c r="A455" s="40">
        <f t="shared" si="71"/>
        <v>1810</v>
      </c>
      <c r="B455" s="108">
        <v>10</v>
      </c>
      <c r="C455" s="330">
        <v>25.525099999999998</v>
      </c>
      <c r="D455" s="331">
        <v>22.059699999999999</v>
      </c>
      <c r="E455" s="331">
        <v>19.084499999999998</v>
      </c>
      <c r="F455" s="331">
        <v>15.2605</v>
      </c>
      <c r="G455" s="331">
        <v>11.269299999999999</v>
      </c>
      <c r="H455" s="331">
        <v>9.1925000000000008</v>
      </c>
      <c r="I455" s="331">
        <v>10.7624</v>
      </c>
      <c r="J455" s="331">
        <v>12.312900000000001</v>
      </c>
      <c r="K455" s="331">
        <v>15.6112</v>
      </c>
      <c r="L455" s="331">
        <v>19.426200000000001</v>
      </c>
      <c r="M455" s="331">
        <v>23.782800000000002</v>
      </c>
      <c r="N455" s="332">
        <v>25.5686</v>
      </c>
      <c r="O455" s="333">
        <v>17.467099999999999</v>
      </c>
    </row>
    <row r="456" spans="1:15" ht="15" x14ac:dyDescent="0.25">
      <c r="A456" s="40">
        <f t="shared" si="71"/>
        <v>1815</v>
      </c>
      <c r="B456" s="108">
        <v>15</v>
      </c>
      <c r="C456" s="330">
        <v>25.216799999999999</v>
      </c>
      <c r="D456" s="331">
        <v>22.097100000000001</v>
      </c>
      <c r="E456" s="331">
        <v>19.462399999999999</v>
      </c>
      <c r="F456" s="331">
        <v>15.889099999999999</v>
      </c>
      <c r="G456" s="331">
        <v>11.8873</v>
      </c>
      <c r="H456" s="331">
        <v>9.7482000000000006</v>
      </c>
      <c r="I456" s="331">
        <v>11.4521</v>
      </c>
      <c r="J456" s="331">
        <v>12.8645</v>
      </c>
      <c r="K456" s="331">
        <v>16.0337</v>
      </c>
      <c r="L456" s="331">
        <v>19.587900000000001</v>
      </c>
      <c r="M456" s="331">
        <v>23.623200000000001</v>
      </c>
      <c r="N456" s="332">
        <v>25.186499999999999</v>
      </c>
      <c r="O456" s="333">
        <v>17.734000000000002</v>
      </c>
    </row>
    <row r="457" spans="1:15" ht="15" x14ac:dyDescent="0.25">
      <c r="A457" s="40">
        <f t="shared" si="71"/>
        <v>1820</v>
      </c>
      <c r="B457" s="108">
        <v>20</v>
      </c>
      <c r="C457" s="330">
        <v>24.754300000000001</v>
      </c>
      <c r="D457" s="331">
        <v>22.002500000000001</v>
      </c>
      <c r="E457" s="331">
        <v>19.723299999999998</v>
      </c>
      <c r="F457" s="331">
        <v>16.421299999999999</v>
      </c>
      <c r="G457" s="331">
        <v>12.435600000000001</v>
      </c>
      <c r="H457" s="331">
        <v>10.248100000000001</v>
      </c>
      <c r="I457" s="331">
        <v>12.0733</v>
      </c>
      <c r="J457" s="331">
        <v>13.3409</v>
      </c>
      <c r="K457" s="331">
        <v>16.361899999999999</v>
      </c>
      <c r="L457" s="331">
        <v>19.6326</v>
      </c>
      <c r="M457" s="331">
        <v>23.32</v>
      </c>
      <c r="N457" s="332">
        <v>24.651299999999999</v>
      </c>
      <c r="O457" s="333">
        <v>17.8947</v>
      </c>
    </row>
    <row r="458" spans="1:15" ht="15" x14ac:dyDescent="0.25">
      <c r="A458" s="40">
        <f t="shared" si="71"/>
        <v>1825</v>
      </c>
      <c r="B458" s="108">
        <v>25</v>
      </c>
      <c r="C458" s="334">
        <v>24.1418</v>
      </c>
      <c r="D458" s="335">
        <v>21.776599999999998</v>
      </c>
      <c r="E458" s="335">
        <v>19.865200000000002</v>
      </c>
      <c r="F458" s="335">
        <v>16.853200000000001</v>
      </c>
      <c r="G458" s="335">
        <v>12.9099</v>
      </c>
      <c r="H458" s="335">
        <v>10.6883</v>
      </c>
      <c r="I458" s="335">
        <v>12.6211</v>
      </c>
      <c r="J458" s="335">
        <v>13.7386</v>
      </c>
      <c r="K458" s="335">
        <v>16.5931</v>
      </c>
      <c r="L458" s="335">
        <v>19.559899999999999</v>
      </c>
      <c r="M458" s="335">
        <v>22.875599999999999</v>
      </c>
      <c r="N458" s="336">
        <v>23.972300000000001</v>
      </c>
      <c r="O458" s="337">
        <v>17.9483</v>
      </c>
    </row>
    <row r="459" spans="1:15" ht="15" x14ac:dyDescent="0.25">
      <c r="A459" s="40">
        <f t="shared" si="71"/>
        <v>1830</v>
      </c>
      <c r="B459" s="108">
        <v>30</v>
      </c>
      <c r="C459" s="330">
        <v>23.401700000000002</v>
      </c>
      <c r="D459" s="331">
        <v>21.420999999999999</v>
      </c>
      <c r="E459" s="331">
        <v>19.8871</v>
      </c>
      <c r="F459" s="331">
        <v>17.1813</v>
      </c>
      <c r="G459" s="331">
        <v>13.306699999999999</v>
      </c>
      <c r="H459" s="331">
        <v>11.0656</v>
      </c>
      <c r="I459" s="331">
        <v>13.0913</v>
      </c>
      <c r="J459" s="331">
        <v>14.054500000000001</v>
      </c>
      <c r="K459" s="331">
        <v>16.7258</v>
      </c>
      <c r="L459" s="331">
        <v>19.3705</v>
      </c>
      <c r="M459" s="331">
        <v>22.293299999999999</v>
      </c>
      <c r="N459" s="332">
        <v>23.156199999999998</v>
      </c>
      <c r="O459" s="333">
        <v>17.896100000000001</v>
      </c>
    </row>
    <row r="460" spans="1:15" ht="15" x14ac:dyDescent="0.25">
      <c r="A460" s="40">
        <f t="shared" si="71"/>
        <v>1835</v>
      </c>
      <c r="B460" s="108">
        <v>35</v>
      </c>
      <c r="C460" s="330">
        <v>22.5321</v>
      </c>
      <c r="D460" s="331">
        <v>20.938700000000001</v>
      </c>
      <c r="E460" s="331">
        <v>19.788699999999999</v>
      </c>
      <c r="F460" s="331">
        <v>17.403400000000001</v>
      </c>
      <c r="G460" s="331">
        <v>13.622999999999999</v>
      </c>
      <c r="H460" s="331">
        <v>11.377000000000001</v>
      </c>
      <c r="I460" s="331">
        <v>13.480499999999999</v>
      </c>
      <c r="J460" s="331">
        <v>14.286300000000001</v>
      </c>
      <c r="K460" s="331">
        <v>16.758800000000001</v>
      </c>
      <c r="L460" s="331">
        <v>19.0657</v>
      </c>
      <c r="M460" s="331">
        <v>21.5777</v>
      </c>
      <c r="N460" s="332">
        <v>22.202400000000001</v>
      </c>
      <c r="O460" s="333">
        <v>17.737300000000001</v>
      </c>
    </row>
    <row r="461" spans="1:15" ht="15" x14ac:dyDescent="0.25">
      <c r="A461" s="40">
        <f t="shared" si="71"/>
        <v>1840</v>
      </c>
      <c r="B461" s="108">
        <v>40</v>
      </c>
      <c r="C461" s="330">
        <v>21.546700000000001</v>
      </c>
      <c r="D461" s="331">
        <v>20.339600000000001</v>
      </c>
      <c r="E461" s="331">
        <v>19.570799999999998</v>
      </c>
      <c r="F461" s="331">
        <v>17.517600000000002</v>
      </c>
      <c r="G461" s="331">
        <v>13.856199999999999</v>
      </c>
      <c r="H461" s="331">
        <v>11.6203</v>
      </c>
      <c r="I461" s="331">
        <v>13.7843</v>
      </c>
      <c r="J461" s="331">
        <v>14.4322</v>
      </c>
      <c r="K461" s="331">
        <v>16.6919</v>
      </c>
      <c r="L461" s="331">
        <v>18.6478</v>
      </c>
      <c r="M461" s="331">
        <v>20.734000000000002</v>
      </c>
      <c r="N461" s="332">
        <v>21.118200000000002</v>
      </c>
      <c r="O461" s="333">
        <v>17.4742</v>
      </c>
    </row>
    <row r="462" spans="1:15" ht="15" x14ac:dyDescent="0.25">
      <c r="A462" s="40">
        <f t="shared" si="71"/>
        <v>1845</v>
      </c>
      <c r="B462" s="108">
        <v>45</v>
      </c>
      <c r="C462" s="330">
        <v>20.453199999999999</v>
      </c>
      <c r="D462" s="331">
        <v>19.6219</v>
      </c>
      <c r="E462" s="331">
        <v>19.234999999999999</v>
      </c>
      <c r="F462" s="331">
        <v>17.523</v>
      </c>
      <c r="G462" s="331">
        <v>14.0044</v>
      </c>
      <c r="H462" s="331">
        <v>11.7934</v>
      </c>
      <c r="I462" s="331">
        <v>13.996600000000001</v>
      </c>
      <c r="J462" s="331">
        <v>14.491099999999999</v>
      </c>
      <c r="K462" s="331">
        <v>16.525600000000001</v>
      </c>
      <c r="L462" s="331">
        <v>18.120100000000001</v>
      </c>
      <c r="M462" s="331">
        <v>19.768899999999999</v>
      </c>
      <c r="N462" s="332">
        <v>19.9251</v>
      </c>
      <c r="O462" s="333">
        <v>17.108799999999999</v>
      </c>
    </row>
    <row r="463" spans="1:15" ht="15" x14ac:dyDescent="0.25">
      <c r="A463" s="40">
        <f t="shared" si="71"/>
        <v>1850</v>
      </c>
      <c r="B463" s="108">
        <v>50</v>
      </c>
      <c r="C463" s="330">
        <v>19.241900000000001</v>
      </c>
      <c r="D463" s="331">
        <v>18.790900000000001</v>
      </c>
      <c r="E463" s="331">
        <v>18.783999999999999</v>
      </c>
      <c r="F463" s="331">
        <v>17.419699999999999</v>
      </c>
      <c r="G463" s="331">
        <v>14.064500000000001</v>
      </c>
      <c r="H463" s="331">
        <v>11.895200000000001</v>
      </c>
      <c r="I463" s="331">
        <v>14.118499999999999</v>
      </c>
      <c r="J463" s="331">
        <v>14.462400000000001</v>
      </c>
      <c r="K463" s="331">
        <v>16.261199999999999</v>
      </c>
      <c r="L463" s="331">
        <v>17.486499999999999</v>
      </c>
      <c r="M463" s="331">
        <v>18.689800000000002</v>
      </c>
      <c r="N463" s="332">
        <v>18.645299999999999</v>
      </c>
      <c r="O463" s="333">
        <v>16.643899999999999</v>
      </c>
    </row>
    <row r="464" spans="1:15" ht="15" x14ac:dyDescent="0.25">
      <c r="A464" s="40">
        <f t="shared" si="71"/>
        <v>1855</v>
      </c>
      <c r="B464" s="108">
        <v>55</v>
      </c>
      <c r="C464" s="330">
        <v>17.922000000000001</v>
      </c>
      <c r="D464" s="331">
        <v>17.853000000000002</v>
      </c>
      <c r="E464" s="331">
        <v>18.2211</v>
      </c>
      <c r="F464" s="331">
        <v>17.208500000000001</v>
      </c>
      <c r="G464" s="331">
        <v>14.037699999999999</v>
      </c>
      <c r="H464" s="331">
        <v>11.924899999999999</v>
      </c>
      <c r="I464" s="331">
        <v>14.151300000000001</v>
      </c>
      <c r="J464" s="331">
        <v>14.3466</v>
      </c>
      <c r="K464" s="331">
        <v>15.900700000000001</v>
      </c>
      <c r="L464" s="331">
        <v>16.751999999999999</v>
      </c>
      <c r="M464" s="331">
        <v>17.5352</v>
      </c>
      <c r="N464" s="332">
        <v>17.2865</v>
      </c>
      <c r="O464" s="333">
        <v>16.0855</v>
      </c>
    </row>
    <row r="465" spans="1:16" ht="15" x14ac:dyDescent="0.25">
      <c r="A465" s="40">
        <f t="shared" si="71"/>
        <v>1860</v>
      </c>
      <c r="B465" s="108">
        <v>60</v>
      </c>
      <c r="C465" s="330">
        <v>16.508800000000001</v>
      </c>
      <c r="D465" s="331">
        <v>16.815300000000001</v>
      </c>
      <c r="E465" s="331">
        <v>17.550699999999999</v>
      </c>
      <c r="F465" s="331">
        <v>16.890799999999999</v>
      </c>
      <c r="G465" s="331">
        <v>13.925000000000001</v>
      </c>
      <c r="H465" s="331">
        <v>11.882099999999999</v>
      </c>
      <c r="I465" s="331">
        <v>14.0961</v>
      </c>
      <c r="J465" s="331">
        <v>14.144299999999999</v>
      </c>
      <c r="K465" s="331">
        <v>15.446899999999999</v>
      </c>
      <c r="L465" s="331">
        <v>15.922700000000001</v>
      </c>
      <c r="M465" s="331">
        <v>16.316199999999998</v>
      </c>
      <c r="N465" s="332">
        <v>15.874599999999999</v>
      </c>
      <c r="O465" s="333">
        <v>15.44</v>
      </c>
    </row>
    <row r="466" spans="1:16" ht="15" x14ac:dyDescent="0.25">
      <c r="A466" s="40">
        <f t="shared" si="71"/>
        <v>1865</v>
      </c>
      <c r="B466" s="108">
        <v>65</v>
      </c>
      <c r="C466" s="330">
        <v>15.0337</v>
      </c>
      <c r="D466" s="331">
        <v>15.6858</v>
      </c>
      <c r="E466" s="331">
        <v>16.777799999999999</v>
      </c>
      <c r="F466" s="331">
        <v>16.469200000000001</v>
      </c>
      <c r="G466" s="331">
        <v>13.7278</v>
      </c>
      <c r="H466" s="331">
        <v>11.767300000000001</v>
      </c>
      <c r="I466" s="331">
        <v>13.954000000000001</v>
      </c>
      <c r="J466" s="331">
        <v>13.857200000000001</v>
      </c>
      <c r="K466" s="331">
        <v>14.9031</v>
      </c>
      <c r="L466" s="331">
        <v>15.009600000000001</v>
      </c>
      <c r="M466" s="331">
        <v>15.019600000000001</v>
      </c>
      <c r="N466" s="332">
        <v>14.384</v>
      </c>
      <c r="O466" s="333">
        <v>14.7097</v>
      </c>
    </row>
    <row r="467" spans="1:16" ht="15" x14ac:dyDescent="0.25">
      <c r="A467" s="40">
        <f t="shared" si="71"/>
        <v>1870</v>
      </c>
      <c r="B467" s="108">
        <v>70</v>
      </c>
      <c r="C467" s="330">
        <v>13.5145</v>
      </c>
      <c r="D467" s="331">
        <v>14.473000000000001</v>
      </c>
      <c r="E467" s="331">
        <v>15.908300000000001</v>
      </c>
      <c r="F467" s="331">
        <v>15.946899999999999</v>
      </c>
      <c r="G467" s="331">
        <v>13.447699999999999</v>
      </c>
      <c r="H467" s="331">
        <v>11.581300000000001</v>
      </c>
      <c r="I467" s="331">
        <v>13.7265</v>
      </c>
      <c r="J467" s="331">
        <v>13.487500000000001</v>
      </c>
      <c r="K467" s="331">
        <v>14.2736</v>
      </c>
      <c r="L467" s="331">
        <v>14.023</v>
      </c>
      <c r="M467" s="331">
        <v>13.6457</v>
      </c>
      <c r="N467" s="332">
        <v>12.8264</v>
      </c>
      <c r="O467" s="333">
        <v>13.9003</v>
      </c>
    </row>
    <row r="468" spans="1:16" ht="15" x14ac:dyDescent="0.25">
      <c r="A468" s="40">
        <f t="shared" si="71"/>
        <v>1875</v>
      </c>
      <c r="B468" s="108">
        <v>75</v>
      </c>
      <c r="C468" s="330">
        <v>11.9968</v>
      </c>
      <c r="D468" s="331">
        <v>13.195399999999999</v>
      </c>
      <c r="E468" s="331">
        <v>14.9489</v>
      </c>
      <c r="F468" s="331">
        <v>15.3278</v>
      </c>
      <c r="G468" s="331">
        <v>13.087</v>
      </c>
      <c r="H468" s="331">
        <v>11.3256</v>
      </c>
      <c r="I468" s="331">
        <v>13.4155</v>
      </c>
      <c r="J468" s="331">
        <v>13.0379</v>
      </c>
      <c r="K468" s="331">
        <v>13.5631</v>
      </c>
      <c r="L468" s="331">
        <v>12.967700000000001</v>
      </c>
      <c r="M468" s="331">
        <v>12.2043</v>
      </c>
      <c r="N468" s="332">
        <v>11.2646</v>
      </c>
      <c r="O468" s="333">
        <v>13.025700000000001</v>
      </c>
    </row>
    <row r="469" spans="1:16" ht="15" x14ac:dyDescent="0.25">
      <c r="A469" s="40">
        <f t="shared" si="71"/>
        <v>1880</v>
      </c>
      <c r="B469" s="108">
        <v>80</v>
      </c>
      <c r="C469" s="330">
        <v>10.435499999999999</v>
      </c>
      <c r="D469" s="331">
        <v>11.8805</v>
      </c>
      <c r="E469" s="331">
        <v>13.9068</v>
      </c>
      <c r="F469" s="331">
        <v>14.6166</v>
      </c>
      <c r="G469" s="331">
        <v>12.648400000000001</v>
      </c>
      <c r="H469" s="331">
        <v>11.002000000000001</v>
      </c>
      <c r="I469" s="331">
        <v>13.023199999999999</v>
      </c>
      <c r="J469" s="331">
        <v>12.511900000000001</v>
      </c>
      <c r="K469" s="331">
        <v>12.777100000000001</v>
      </c>
      <c r="L469" s="331">
        <v>11.8492</v>
      </c>
      <c r="M469" s="331">
        <v>10.7339</v>
      </c>
      <c r="N469" s="332">
        <v>9.7502999999999993</v>
      </c>
      <c r="O469" s="333">
        <v>12.0943</v>
      </c>
    </row>
    <row r="470" spans="1:16" ht="15" x14ac:dyDescent="0.25">
      <c r="A470" s="40">
        <f t="shared" si="71"/>
        <v>1885</v>
      </c>
      <c r="B470" s="109">
        <v>85</v>
      </c>
      <c r="C470" s="338">
        <v>8.8790999999999993</v>
      </c>
      <c r="D470" s="339">
        <v>10.533300000000001</v>
      </c>
      <c r="E470" s="339">
        <v>12.789899999999999</v>
      </c>
      <c r="F470" s="339">
        <v>13.8188</v>
      </c>
      <c r="G470" s="339">
        <v>12.1351</v>
      </c>
      <c r="H470" s="339">
        <v>10.613</v>
      </c>
      <c r="I470" s="339">
        <v>12.5524</v>
      </c>
      <c r="J470" s="339">
        <v>11.913500000000001</v>
      </c>
      <c r="K470" s="339">
        <v>11.9214</v>
      </c>
      <c r="L470" s="339">
        <v>10.674799999999999</v>
      </c>
      <c r="M470" s="339">
        <v>9.2872000000000003</v>
      </c>
      <c r="N470" s="340">
        <v>8.2405000000000008</v>
      </c>
      <c r="O470" s="341">
        <v>11.114800000000001</v>
      </c>
    </row>
    <row r="471" spans="1:16" x14ac:dyDescent="0.2">
      <c r="A471" s="40">
        <f t="shared" si="71"/>
        <v>1890</v>
      </c>
      <c r="B471" s="40">
        <v>90</v>
      </c>
    </row>
    <row r="472" spans="1:16" x14ac:dyDescent="0.2">
      <c r="A472" s="40">
        <f t="shared" si="71"/>
        <v>1891</v>
      </c>
      <c r="B472" s="40">
        <v>91</v>
      </c>
      <c r="C472" s="107">
        <f>T19</f>
        <v>24.6</v>
      </c>
      <c r="D472" s="107">
        <f t="shared" ref="D472:O472" si="72">U19</f>
        <v>23.7</v>
      </c>
      <c r="E472" s="107">
        <f t="shared" si="72"/>
        <v>21.6</v>
      </c>
      <c r="F472" s="107">
        <f t="shared" si="72"/>
        <v>17.7</v>
      </c>
      <c r="G472" s="107">
        <f t="shared" si="72"/>
        <v>14.6</v>
      </c>
      <c r="H472" s="107">
        <f t="shared" si="72"/>
        <v>11.5</v>
      </c>
      <c r="I472" s="107">
        <f t="shared" si="72"/>
        <v>11.4</v>
      </c>
      <c r="J472" s="107">
        <f t="shared" si="72"/>
        <v>12.5</v>
      </c>
      <c r="K472" s="107">
        <f t="shared" si="72"/>
        <v>14.3</v>
      </c>
      <c r="L472" s="107">
        <f t="shared" si="72"/>
        <v>17.3</v>
      </c>
      <c r="M472" s="107">
        <f t="shared" si="72"/>
        <v>20</v>
      </c>
      <c r="N472" s="107">
        <f t="shared" si="72"/>
        <v>23</v>
      </c>
      <c r="O472" s="107">
        <f t="shared" si="72"/>
        <v>17.7</v>
      </c>
      <c r="P472" s="41" t="s">
        <v>680</v>
      </c>
    </row>
    <row r="473" spans="1:16" x14ac:dyDescent="0.2">
      <c r="A473" s="40">
        <f t="shared" si="71"/>
        <v>1892</v>
      </c>
      <c r="B473" s="40">
        <v>92</v>
      </c>
      <c r="C473" s="343">
        <f>T43</f>
        <v>28.4</v>
      </c>
      <c r="D473" s="343">
        <f t="shared" ref="D473:O473" si="73">U43</f>
        <v>28.5</v>
      </c>
      <c r="E473" s="343">
        <f t="shared" si="73"/>
        <v>26.1</v>
      </c>
      <c r="F473" s="343">
        <f t="shared" si="73"/>
        <v>21.7</v>
      </c>
      <c r="G473" s="343">
        <f t="shared" si="73"/>
        <v>16.600000000000001</v>
      </c>
      <c r="H473" s="343">
        <f t="shared" si="73"/>
        <v>12</v>
      </c>
      <c r="I473" s="343">
        <f t="shared" si="73"/>
        <v>9.3000000000000007</v>
      </c>
      <c r="J473" s="343">
        <f t="shared" si="73"/>
        <v>9.1999999999999993</v>
      </c>
      <c r="K473" s="343">
        <f t="shared" si="73"/>
        <v>11.7</v>
      </c>
      <c r="L473" s="343">
        <f t="shared" si="73"/>
        <v>16.100000000000001</v>
      </c>
      <c r="M473" s="343">
        <f t="shared" si="73"/>
        <v>21.3</v>
      </c>
      <c r="N473" s="343">
        <f t="shared" si="73"/>
        <v>25.8</v>
      </c>
      <c r="O473" s="343">
        <f t="shared" si="73"/>
        <v>0</v>
      </c>
    </row>
    <row r="475" spans="1:16" ht="15" x14ac:dyDescent="0.25">
      <c r="B475" s="89" t="s">
        <v>672</v>
      </c>
      <c r="C475"/>
      <c r="D475"/>
      <c r="E475"/>
      <c r="F475"/>
      <c r="G475" s="955" t="s">
        <v>613</v>
      </c>
      <c r="H475" s="955"/>
      <c r="I475" s="955"/>
      <c r="J475" s="955"/>
      <c r="K475" s="955"/>
      <c r="L475" s="955"/>
      <c r="M475" s="955"/>
      <c r="N475" s="955"/>
      <c r="O475" s="342">
        <v>19</v>
      </c>
    </row>
    <row r="476" spans="1:16" ht="15" x14ac:dyDescent="0.25">
      <c r="B476" t="s">
        <v>614</v>
      </c>
      <c r="C476" t="s">
        <v>673</v>
      </c>
      <c r="D476" t="s">
        <v>616</v>
      </c>
      <c r="E476" t="s">
        <v>674</v>
      </c>
      <c r="F476"/>
      <c r="G476" s="956" t="s">
        <v>618</v>
      </c>
      <c r="H476" s="956"/>
      <c r="I476" s="956"/>
      <c r="J476" s="956"/>
      <c r="K476" s="956"/>
      <c r="L476" s="956"/>
      <c r="M476" s="956"/>
      <c r="N476" s="956"/>
      <c r="O476" s="956"/>
    </row>
    <row r="477" spans="1:16" ht="15" x14ac:dyDescent="0.25">
      <c r="B477" s="90" t="s">
        <v>619</v>
      </c>
      <c r="C477" s="91" t="s">
        <v>4</v>
      </c>
      <c r="D477" s="91" t="s">
        <v>5</v>
      </c>
      <c r="E477" s="91" t="s">
        <v>6</v>
      </c>
      <c r="F477" s="91" t="s">
        <v>7</v>
      </c>
      <c r="G477" s="91" t="s">
        <v>8</v>
      </c>
      <c r="H477" s="91" t="s">
        <v>9</v>
      </c>
      <c r="I477" s="91" t="s">
        <v>10</v>
      </c>
      <c r="J477" s="91" t="s">
        <v>11</v>
      </c>
      <c r="K477" s="91" t="s">
        <v>12</v>
      </c>
      <c r="L477" s="91" t="s">
        <v>13</v>
      </c>
      <c r="M477" s="91" t="s">
        <v>14</v>
      </c>
      <c r="N477" s="91" t="s">
        <v>15</v>
      </c>
      <c r="O477" s="92" t="s">
        <v>620</v>
      </c>
    </row>
    <row r="478" spans="1:16" ht="15" x14ac:dyDescent="0.25">
      <c r="A478" s="40">
        <f>O$475*100+B478</f>
        <v>1900</v>
      </c>
      <c r="B478" s="108">
        <v>0</v>
      </c>
      <c r="C478" s="93">
        <v>25.365200000000002</v>
      </c>
      <c r="D478" s="94">
        <v>20.925000000000001</v>
      </c>
      <c r="E478" s="94">
        <v>17.500499999999999</v>
      </c>
      <c r="F478" s="94">
        <v>13.4931</v>
      </c>
      <c r="G478" s="94">
        <v>9.6893999999999991</v>
      </c>
      <c r="H478" s="94">
        <v>7.8422000000000001</v>
      </c>
      <c r="I478" s="94">
        <v>8.7609999999999992</v>
      </c>
      <c r="J478" s="94">
        <v>10.4246</v>
      </c>
      <c r="K478" s="94">
        <v>14.0283</v>
      </c>
      <c r="L478" s="94">
        <v>18.496700000000001</v>
      </c>
      <c r="M478" s="94">
        <v>23.1782</v>
      </c>
      <c r="N478" s="95">
        <v>25.209800000000001</v>
      </c>
      <c r="O478" s="96">
        <v>16.222000000000001</v>
      </c>
    </row>
    <row r="479" spans="1:16" ht="15" x14ac:dyDescent="0.25">
      <c r="A479" s="40">
        <f t="shared" ref="A479:A498" si="74">O$475*100+B479</f>
        <v>1905</v>
      </c>
      <c r="B479" s="108">
        <v>5</v>
      </c>
      <c r="C479" s="93">
        <v>25.4222</v>
      </c>
      <c r="D479" s="94">
        <v>21.225000000000001</v>
      </c>
      <c r="E479" s="94">
        <v>18.081099999999999</v>
      </c>
      <c r="F479" s="94">
        <v>14.302099999999999</v>
      </c>
      <c r="G479" s="94">
        <v>10.436299999999999</v>
      </c>
      <c r="H479" s="94">
        <v>8.5259</v>
      </c>
      <c r="I479" s="94">
        <v>9.5228999999999999</v>
      </c>
      <c r="J479" s="94">
        <v>11.073399999999999</v>
      </c>
      <c r="K479" s="94">
        <v>14.6159</v>
      </c>
      <c r="L479" s="94">
        <v>18.8948</v>
      </c>
      <c r="M479" s="94">
        <v>23.326499999999999</v>
      </c>
      <c r="N479" s="95">
        <v>25.187100000000001</v>
      </c>
      <c r="O479" s="96">
        <v>16.697500000000002</v>
      </c>
    </row>
    <row r="480" spans="1:16" ht="15" x14ac:dyDescent="0.25">
      <c r="A480" s="40">
        <f t="shared" si="74"/>
        <v>1910</v>
      </c>
      <c r="B480" s="108">
        <v>10</v>
      </c>
      <c r="C480" s="93">
        <v>25.325900000000001</v>
      </c>
      <c r="D480" s="94">
        <v>21.400600000000001</v>
      </c>
      <c r="E480" s="94">
        <v>18.5566</v>
      </c>
      <c r="F480" s="94">
        <v>15.027200000000001</v>
      </c>
      <c r="G480" s="94">
        <v>11.124499999999999</v>
      </c>
      <c r="H480" s="94">
        <v>9.1626999999999992</v>
      </c>
      <c r="I480" s="94">
        <v>10.2309</v>
      </c>
      <c r="J480" s="94">
        <v>11.660600000000001</v>
      </c>
      <c r="K480" s="94">
        <v>15.12</v>
      </c>
      <c r="L480" s="94">
        <v>19.182500000000001</v>
      </c>
      <c r="M480" s="94">
        <v>23.334900000000001</v>
      </c>
      <c r="N480" s="95">
        <v>25.013100000000001</v>
      </c>
      <c r="O480" s="96">
        <v>17.075299999999999</v>
      </c>
    </row>
    <row r="481" spans="1:15" ht="15" x14ac:dyDescent="0.25">
      <c r="A481" s="40">
        <f t="shared" si="74"/>
        <v>1915</v>
      </c>
      <c r="B481" s="108">
        <v>15</v>
      </c>
      <c r="C481" s="93">
        <v>25.076899999999998</v>
      </c>
      <c r="D481" s="94">
        <v>21.450299999999999</v>
      </c>
      <c r="E481" s="94">
        <v>18.923400000000001</v>
      </c>
      <c r="F481" s="94">
        <v>15.662800000000001</v>
      </c>
      <c r="G481" s="94">
        <v>11.7485</v>
      </c>
      <c r="H481" s="94">
        <v>9.7476000000000003</v>
      </c>
      <c r="I481" s="94">
        <v>10.8796</v>
      </c>
      <c r="J481" s="94">
        <v>12.181800000000001</v>
      </c>
      <c r="K481" s="94">
        <v>15.5367</v>
      </c>
      <c r="L481" s="94">
        <v>19.357399999999998</v>
      </c>
      <c r="M481" s="94">
        <v>23.203499999999998</v>
      </c>
      <c r="N481" s="95">
        <v>24.689</v>
      </c>
      <c r="O481" s="96">
        <v>17.352499999999999</v>
      </c>
    </row>
    <row r="482" spans="1:15" ht="15" x14ac:dyDescent="0.25">
      <c r="A482" s="40">
        <f t="shared" si="74"/>
        <v>1920</v>
      </c>
      <c r="B482" s="108">
        <v>20</v>
      </c>
      <c r="C482" s="93">
        <v>24.677299999999999</v>
      </c>
      <c r="D482" s="94">
        <v>21.373799999999999</v>
      </c>
      <c r="E482" s="94">
        <v>19.178599999999999</v>
      </c>
      <c r="F482" s="94">
        <v>16.2041</v>
      </c>
      <c r="G482" s="94">
        <v>12.303699999999999</v>
      </c>
      <c r="H482" s="94">
        <v>10.276199999999999</v>
      </c>
      <c r="I482" s="94">
        <v>11.464</v>
      </c>
      <c r="J482" s="94">
        <v>12.632899999999999</v>
      </c>
      <c r="K482" s="94">
        <v>15.8628</v>
      </c>
      <c r="L482" s="94">
        <v>19.418299999999999</v>
      </c>
      <c r="M482" s="94">
        <v>22.933199999999999</v>
      </c>
      <c r="N482" s="95">
        <v>24.217400000000001</v>
      </c>
      <c r="O482" s="96">
        <v>17.527200000000001</v>
      </c>
    </row>
    <row r="483" spans="1:15" ht="15" x14ac:dyDescent="0.25">
      <c r="A483" s="40">
        <f t="shared" si="74"/>
        <v>1925</v>
      </c>
      <c r="B483" s="108">
        <v>25</v>
      </c>
      <c r="C483" s="97">
        <v>24.1325</v>
      </c>
      <c r="D483" s="98">
        <v>21.171600000000002</v>
      </c>
      <c r="E483" s="98">
        <v>19.3203</v>
      </c>
      <c r="F483" s="98">
        <v>16.646999999999998</v>
      </c>
      <c r="G483" s="98">
        <v>12.7859</v>
      </c>
      <c r="H483" s="98">
        <v>10.7446</v>
      </c>
      <c r="I483" s="98">
        <v>11.979699999999999</v>
      </c>
      <c r="J483" s="98">
        <v>13.0106</v>
      </c>
      <c r="K483" s="98">
        <v>16.0959</v>
      </c>
      <c r="L483" s="98">
        <v>19.364799999999999</v>
      </c>
      <c r="M483" s="98">
        <v>22.526</v>
      </c>
      <c r="N483" s="99">
        <v>23.601700000000001</v>
      </c>
      <c r="O483" s="100">
        <v>17.597999999999999</v>
      </c>
    </row>
    <row r="484" spans="1:15" ht="15" x14ac:dyDescent="0.25">
      <c r="A484" s="40">
        <f t="shared" si="74"/>
        <v>1930</v>
      </c>
      <c r="B484" s="108">
        <v>30</v>
      </c>
      <c r="C484" s="93">
        <v>23.449200000000001</v>
      </c>
      <c r="D484" s="94">
        <v>20.845300000000002</v>
      </c>
      <c r="E484" s="94">
        <v>19.3474</v>
      </c>
      <c r="F484" s="94">
        <v>16.988199999999999</v>
      </c>
      <c r="G484" s="94">
        <v>13.1913</v>
      </c>
      <c r="H484" s="94">
        <v>11.149100000000001</v>
      </c>
      <c r="I484" s="94">
        <v>12.422800000000001</v>
      </c>
      <c r="J484" s="94">
        <v>13.311999999999999</v>
      </c>
      <c r="K484" s="94">
        <v>16.234200000000001</v>
      </c>
      <c r="L484" s="94">
        <v>19.197199999999999</v>
      </c>
      <c r="M484" s="94">
        <v>21.985099999999999</v>
      </c>
      <c r="N484" s="95">
        <v>22.846699999999998</v>
      </c>
      <c r="O484" s="96">
        <v>17.564699999999998</v>
      </c>
    </row>
    <row r="485" spans="1:15" ht="15" x14ac:dyDescent="0.25">
      <c r="A485" s="40">
        <f t="shared" si="74"/>
        <v>1935</v>
      </c>
      <c r="B485" s="108">
        <v>35</v>
      </c>
      <c r="C485" s="93">
        <v>22.627600000000001</v>
      </c>
      <c r="D485" s="94">
        <v>20.397400000000001</v>
      </c>
      <c r="E485" s="94">
        <v>19.259799999999998</v>
      </c>
      <c r="F485" s="94">
        <v>17.225000000000001</v>
      </c>
      <c r="G485" s="94">
        <v>13.5169</v>
      </c>
      <c r="H485" s="94">
        <v>11.486599999999999</v>
      </c>
      <c r="I485" s="94">
        <v>12.789899999999999</v>
      </c>
      <c r="J485" s="94">
        <v>13.534800000000001</v>
      </c>
      <c r="K485" s="94">
        <v>16.276700000000002</v>
      </c>
      <c r="L485" s="94">
        <v>18.916799999999999</v>
      </c>
      <c r="M485" s="94">
        <v>21.314599999999999</v>
      </c>
      <c r="N485" s="95">
        <v>21.958100000000002</v>
      </c>
      <c r="O485" s="96">
        <v>17.427199999999999</v>
      </c>
    </row>
    <row r="486" spans="1:15" ht="15" x14ac:dyDescent="0.25">
      <c r="A486" s="40">
        <f t="shared" si="74"/>
        <v>1940</v>
      </c>
      <c r="B486" s="108">
        <v>40</v>
      </c>
      <c r="C486" s="93">
        <v>21.6739</v>
      </c>
      <c r="D486" s="94">
        <v>19.831299999999999</v>
      </c>
      <c r="E486" s="94">
        <v>19.058</v>
      </c>
      <c r="F486" s="94">
        <v>17.355599999999999</v>
      </c>
      <c r="G486" s="94">
        <v>13.760199999999999</v>
      </c>
      <c r="H486" s="94">
        <v>11.7546</v>
      </c>
      <c r="I486" s="94">
        <v>13.078200000000001</v>
      </c>
      <c r="J486" s="94">
        <v>13.677300000000001</v>
      </c>
      <c r="K486" s="94">
        <v>16.222899999999999</v>
      </c>
      <c r="L486" s="94">
        <v>18.525700000000001</v>
      </c>
      <c r="M486" s="94">
        <v>20.519500000000001</v>
      </c>
      <c r="N486" s="95">
        <v>20.942699999999999</v>
      </c>
      <c r="O486" s="96">
        <v>17.186499999999999</v>
      </c>
    </row>
    <row r="487" spans="1:15" ht="15" x14ac:dyDescent="0.25">
      <c r="A487" s="40">
        <f t="shared" si="74"/>
        <v>1945</v>
      </c>
      <c r="B487" s="108">
        <v>45</v>
      </c>
      <c r="C487" s="93">
        <v>20.613299999999999</v>
      </c>
      <c r="D487" s="94">
        <v>19.1601</v>
      </c>
      <c r="E487" s="94">
        <v>18.7437</v>
      </c>
      <c r="F487" s="94">
        <v>17.379000000000001</v>
      </c>
      <c r="G487" s="94">
        <v>13.9194</v>
      </c>
      <c r="H487" s="94">
        <v>11.9511</v>
      </c>
      <c r="I487" s="94">
        <v>13.284000000000001</v>
      </c>
      <c r="J487" s="94">
        <v>13.7384</v>
      </c>
      <c r="K487" s="94">
        <v>16.073399999999999</v>
      </c>
      <c r="L487" s="94">
        <v>18.027000000000001</v>
      </c>
      <c r="M487" s="94">
        <v>19.606000000000002</v>
      </c>
      <c r="N487" s="95">
        <v>19.808299999999999</v>
      </c>
      <c r="O487" s="96">
        <v>16.846399999999999</v>
      </c>
    </row>
    <row r="488" spans="1:15" ht="15" x14ac:dyDescent="0.25">
      <c r="A488" s="40">
        <f t="shared" si="74"/>
        <v>1950</v>
      </c>
      <c r="B488" s="108">
        <v>50</v>
      </c>
      <c r="C488" s="93">
        <v>19.4513</v>
      </c>
      <c r="D488" s="94">
        <v>18.3828</v>
      </c>
      <c r="E488" s="94">
        <v>18.319199999999999</v>
      </c>
      <c r="F488" s="94">
        <v>17.295100000000001</v>
      </c>
      <c r="G488" s="94">
        <v>13.9932</v>
      </c>
      <c r="H488" s="94">
        <v>12.0745</v>
      </c>
      <c r="I488" s="94">
        <v>13.4049</v>
      </c>
      <c r="J488" s="94">
        <v>13.717599999999999</v>
      </c>
      <c r="K488" s="94">
        <v>15.8293</v>
      </c>
      <c r="L488" s="94">
        <v>17.424399999999999</v>
      </c>
      <c r="M488" s="94">
        <v>18.585799999999999</v>
      </c>
      <c r="N488" s="95">
        <v>18.581</v>
      </c>
      <c r="O488" s="96">
        <v>16.410699999999999</v>
      </c>
    </row>
    <row r="489" spans="1:15" ht="15" x14ac:dyDescent="0.25">
      <c r="A489" s="40">
        <f t="shared" si="74"/>
        <v>1955</v>
      </c>
      <c r="B489" s="108">
        <v>55</v>
      </c>
      <c r="C489" s="93">
        <v>18.1815</v>
      </c>
      <c r="D489" s="94">
        <v>17.502600000000001</v>
      </c>
      <c r="E489" s="94">
        <v>17.787800000000001</v>
      </c>
      <c r="F489" s="94">
        <v>17.104500000000002</v>
      </c>
      <c r="G489" s="94">
        <v>13.9808</v>
      </c>
      <c r="H489" s="94">
        <v>12.124000000000001</v>
      </c>
      <c r="I489" s="94">
        <v>13.4413</v>
      </c>
      <c r="J489" s="94">
        <v>13.6152</v>
      </c>
      <c r="K489" s="94">
        <v>15.4924</v>
      </c>
      <c r="L489" s="94">
        <v>16.722799999999999</v>
      </c>
      <c r="M489" s="94">
        <v>17.489799999999999</v>
      </c>
      <c r="N489" s="95">
        <v>17.3065</v>
      </c>
      <c r="O489" s="96">
        <v>15.8863</v>
      </c>
    </row>
    <row r="490" spans="1:15" ht="15" x14ac:dyDescent="0.25">
      <c r="A490" s="40">
        <f t="shared" si="74"/>
        <v>1960</v>
      </c>
      <c r="B490" s="108">
        <v>60</v>
      </c>
      <c r="C490" s="93">
        <v>16.8263</v>
      </c>
      <c r="D490" s="94">
        <v>16.526199999999999</v>
      </c>
      <c r="E490" s="94">
        <v>17.153400000000001</v>
      </c>
      <c r="F490" s="94">
        <v>16.808700000000002</v>
      </c>
      <c r="G490" s="94">
        <v>13.8819</v>
      </c>
      <c r="H490" s="94">
        <v>12.0991</v>
      </c>
      <c r="I490" s="94">
        <v>13.394299999999999</v>
      </c>
      <c r="J490" s="94">
        <v>13.431800000000001</v>
      </c>
      <c r="K490" s="94">
        <v>15.065300000000001</v>
      </c>
      <c r="L490" s="94">
        <v>15.930899999999999</v>
      </c>
      <c r="M490" s="94">
        <v>16.314</v>
      </c>
      <c r="N490" s="95">
        <v>15.965999999999999</v>
      </c>
      <c r="O490" s="96">
        <v>15.2753</v>
      </c>
    </row>
    <row r="491" spans="1:15" ht="15" x14ac:dyDescent="0.25">
      <c r="A491" s="40">
        <f t="shared" si="74"/>
        <v>1965</v>
      </c>
      <c r="B491" s="108">
        <v>65</v>
      </c>
      <c r="C491" s="93">
        <v>15.4064</v>
      </c>
      <c r="D491" s="94">
        <v>15.461</v>
      </c>
      <c r="E491" s="94">
        <v>16.420999999999999</v>
      </c>
      <c r="F491" s="94">
        <v>16.409800000000001</v>
      </c>
      <c r="G491" s="94">
        <v>13.6981</v>
      </c>
      <c r="H491" s="94">
        <v>12</v>
      </c>
      <c r="I491" s="94">
        <v>13.265000000000001</v>
      </c>
      <c r="J491" s="94">
        <v>13.168900000000001</v>
      </c>
      <c r="K491" s="94">
        <v>14.5512</v>
      </c>
      <c r="L491" s="94">
        <v>15.054399999999999</v>
      </c>
      <c r="M491" s="94">
        <v>15.064500000000001</v>
      </c>
      <c r="N491" s="95">
        <v>14.5443</v>
      </c>
      <c r="O491" s="96">
        <v>14.5808</v>
      </c>
    </row>
    <row r="492" spans="1:15" ht="15" x14ac:dyDescent="0.25">
      <c r="A492" s="40">
        <f t="shared" si="74"/>
        <v>1970</v>
      </c>
      <c r="B492" s="108">
        <v>70</v>
      </c>
      <c r="C492" s="93">
        <v>13.9261</v>
      </c>
      <c r="D492" s="94">
        <v>14.3165</v>
      </c>
      <c r="E492" s="94">
        <v>15.596</v>
      </c>
      <c r="F492" s="94">
        <v>15.911</v>
      </c>
      <c r="G492" s="94">
        <v>13.430999999999999</v>
      </c>
      <c r="H492" s="94">
        <v>11.827500000000001</v>
      </c>
      <c r="I492" s="94">
        <v>13.0549</v>
      </c>
      <c r="J492" s="94">
        <v>12.8285</v>
      </c>
      <c r="K492" s="94">
        <v>13.9541</v>
      </c>
      <c r="L492" s="94">
        <v>14.098800000000001</v>
      </c>
      <c r="M492" s="94">
        <v>13.7461</v>
      </c>
      <c r="N492" s="95">
        <v>13.052199999999999</v>
      </c>
      <c r="O492" s="96">
        <v>13.8072</v>
      </c>
    </row>
    <row r="493" spans="1:15" ht="15" x14ac:dyDescent="0.25">
      <c r="A493" s="40">
        <f t="shared" si="74"/>
        <v>1975</v>
      </c>
      <c r="B493" s="108">
        <v>75</v>
      </c>
      <c r="C493" s="93">
        <v>12.413</v>
      </c>
      <c r="D493" s="94">
        <v>13.1099</v>
      </c>
      <c r="E493" s="94">
        <v>14.684900000000001</v>
      </c>
      <c r="F493" s="94">
        <v>15.315899999999999</v>
      </c>
      <c r="G493" s="94">
        <v>13.082800000000001</v>
      </c>
      <c r="H493" s="94">
        <v>11.5829</v>
      </c>
      <c r="I493" s="94">
        <v>12.7654</v>
      </c>
      <c r="J493" s="94">
        <v>12.4132</v>
      </c>
      <c r="K493" s="94">
        <v>13.2784</v>
      </c>
      <c r="L493" s="94">
        <v>13.0755</v>
      </c>
      <c r="M493" s="94">
        <v>12.361599999999999</v>
      </c>
      <c r="N493" s="95">
        <v>11.522399999999999</v>
      </c>
      <c r="O493" s="96">
        <v>12.9642</v>
      </c>
    </row>
    <row r="494" spans="1:15" ht="15" x14ac:dyDescent="0.25">
      <c r="A494" s="40">
        <f t="shared" si="74"/>
        <v>1980</v>
      </c>
      <c r="B494" s="108">
        <v>80</v>
      </c>
      <c r="C494" s="93">
        <v>10.891299999999999</v>
      </c>
      <c r="D494" s="94">
        <v>11.8551</v>
      </c>
      <c r="E494" s="94">
        <v>13.6944</v>
      </c>
      <c r="F494" s="94">
        <v>14.629300000000001</v>
      </c>
      <c r="G494" s="94">
        <v>12.6561</v>
      </c>
      <c r="H494" s="94">
        <v>11.268000000000001</v>
      </c>
      <c r="I494" s="94">
        <v>12.398899999999999</v>
      </c>
      <c r="J494" s="94">
        <v>11.926</v>
      </c>
      <c r="K494" s="94">
        <v>12.529500000000001</v>
      </c>
      <c r="L494" s="94">
        <v>11.9902</v>
      </c>
      <c r="M494" s="94">
        <v>10.9435</v>
      </c>
      <c r="N494" s="95">
        <v>10.0686</v>
      </c>
      <c r="O494" s="96">
        <v>12.069699999999999</v>
      </c>
    </row>
    <row r="495" spans="1:15" ht="15" x14ac:dyDescent="0.25">
      <c r="A495" s="40">
        <f t="shared" si="74"/>
        <v>1985</v>
      </c>
      <c r="B495" s="109">
        <v>85</v>
      </c>
      <c r="C495" s="101">
        <v>9.3694000000000006</v>
      </c>
      <c r="D495" s="102">
        <v>10.5688</v>
      </c>
      <c r="E495" s="102">
        <v>12.632199999999999</v>
      </c>
      <c r="F495" s="102">
        <v>13.856199999999999</v>
      </c>
      <c r="G495" s="102">
        <v>12.1539</v>
      </c>
      <c r="H495" s="102">
        <v>10.885300000000001</v>
      </c>
      <c r="I495" s="102">
        <v>11.957800000000001</v>
      </c>
      <c r="J495" s="102">
        <v>11.370900000000001</v>
      </c>
      <c r="K495" s="102">
        <v>11.7128</v>
      </c>
      <c r="L495" s="102">
        <v>10.849</v>
      </c>
      <c r="M495" s="102">
        <v>9.5390999999999995</v>
      </c>
      <c r="N495" s="103">
        <v>8.6061999999999994</v>
      </c>
      <c r="O495" s="104">
        <v>11.1256</v>
      </c>
    </row>
    <row r="496" spans="1:15" x14ac:dyDescent="0.2">
      <c r="A496" s="40">
        <f t="shared" si="74"/>
        <v>1990</v>
      </c>
      <c r="B496" s="40">
        <v>90</v>
      </c>
    </row>
    <row r="497" spans="1:16" x14ac:dyDescent="0.2">
      <c r="A497" s="40">
        <f t="shared" si="74"/>
        <v>1991</v>
      </c>
      <c r="B497" s="40">
        <v>91</v>
      </c>
      <c r="C497" s="107">
        <f>T20</f>
        <v>22.9</v>
      </c>
      <c r="D497" s="107">
        <f t="shared" ref="D497:O497" si="75">U20</f>
        <v>22.5</v>
      </c>
      <c r="E497" s="107">
        <f t="shared" si="75"/>
        <v>20.6</v>
      </c>
      <c r="F497" s="107">
        <f t="shared" si="75"/>
        <v>17.2</v>
      </c>
      <c r="G497" s="107">
        <f t="shared" si="75"/>
        <v>13.9</v>
      </c>
      <c r="H497" s="107">
        <f t="shared" si="75"/>
        <v>11.2</v>
      </c>
      <c r="I497" s="107">
        <f t="shared" si="75"/>
        <v>11.3</v>
      </c>
      <c r="J497" s="107">
        <f t="shared" si="75"/>
        <v>12.2</v>
      </c>
      <c r="K497" s="107">
        <f t="shared" si="75"/>
        <v>13.8</v>
      </c>
      <c r="L497" s="107">
        <f t="shared" si="75"/>
        <v>16.3</v>
      </c>
      <c r="M497" s="107">
        <f t="shared" si="75"/>
        <v>18.7</v>
      </c>
      <c r="N497" s="107">
        <f t="shared" si="75"/>
        <v>21.5</v>
      </c>
      <c r="O497" s="107">
        <f t="shared" si="75"/>
        <v>16.8</v>
      </c>
      <c r="P497" s="41" t="s">
        <v>681</v>
      </c>
    </row>
    <row r="498" spans="1:16" x14ac:dyDescent="0.2">
      <c r="A498" s="40">
        <f t="shared" si="74"/>
        <v>1992</v>
      </c>
      <c r="B498" s="40">
        <v>92</v>
      </c>
      <c r="C498" s="343">
        <f>T44</f>
        <v>28.4</v>
      </c>
      <c r="D498" s="343">
        <f t="shared" ref="D498:O498" si="76">U44</f>
        <v>28.5</v>
      </c>
      <c r="E498" s="343">
        <f t="shared" si="76"/>
        <v>26.1</v>
      </c>
      <c r="F498" s="343">
        <f t="shared" si="76"/>
        <v>21.7</v>
      </c>
      <c r="G498" s="343">
        <f t="shared" si="76"/>
        <v>16.600000000000001</v>
      </c>
      <c r="H498" s="343">
        <f t="shared" si="76"/>
        <v>12</v>
      </c>
      <c r="I498" s="343">
        <f t="shared" si="76"/>
        <v>9.3000000000000007</v>
      </c>
      <c r="J498" s="343">
        <f t="shared" si="76"/>
        <v>9.1999999999999993</v>
      </c>
      <c r="K498" s="343">
        <f t="shared" si="76"/>
        <v>11.7</v>
      </c>
      <c r="L498" s="343">
        <f t="shared" si="76"/>
        <v>16.100000000000001</v>
      </c>
      <c r="M498" s="343">
        <f t="shared" si="76"/>
        <v>21.3</v>
      </c>
      <c r="N498" s="343">
        <f t="shared" si="76"/>
        <v>25.8</v>
      </c>
      <c r="O498" s="343">
        <f t="shared" si="76"/>
        <v>0</v>
      </c>
    </row>
  </sheetData>
  <sheetProtection password="85C8" sheet="1" objects="1" scenarios="1"/>
  <customSheetViews>
    <customSheetView guid="{FE4792CB-B919-4F54-9754-D4BC1B90FDF0}" scale="80">
      <selection activeCell="L9" sqref="L9"/>
      <pageMargins left="0.7" right="0.7" top="0.75" bottom="0.75" header="0.3" footer="0.3"/>
      <pageSetup paperSize="9" orientation="portrait" horizontalDpi="300" verticalDpi="0" r:id="rId1"/>
    </customSheetView>
  </customSheetViews>
  <mergeCells count="38">
    <mergeCell ref="G25:N25"/>
    <mergeCell ref="G26:O26"/>
    <mergeCell ref="G50:N50"/>
    <mergeCell ref="G51:O51"/>
    <mergeCell ref="G150:N150"/>
    <mergeCell ref="G151:O151"/>
    <mergeCell ref="G125:N125"/>
    <mergeCell ref="G126:O126"/>
    <mergeCell ref="G75:N75"/>
    <mergeCell ref="G76:O76"/>
    <mergeCell ref="G100:N100"/>
    <mergeCell ref="G101:O101"/>
    <mergeCell ref="G225:N225"/>
    <mergeCell ref="G226:O226"/>
    <mergeCell ref="G250:N250"/>
    <mergeCell ref="G175:N175"/>
    <mergeCell ref="G176:O176"/>
    <mergeCell ref="G200:N200"/>
    <mergeCell ref="G201:O201"/>
    <mergeCell ref="G300:N300"/>
    <mergeCell ref="G301:O301"/>
    <mergeCell ref="G325:N325"/>
    <mergeCell ref="G326:O326"/>
    <mergeCell ref="G251:O251"/>
    <mergeCell ref="G275:N275"/>
    <mergeCell ref="G276:O276"/>
    <mergeCell ref="G376:O376"/>
    <mergeCell ref="G400:N400"/>
    <mergeCell ref="G401:O401"/>
    <mergeCell ref="G350:N350"/>
    <mergeCell ref="G351:O351"/>
    <mergeCell ref="G375:N375"/>
    <mergeCell ref="G475:N475"/>
    <mergeCell ref="G476:O476"/>
    <mergeCell ref="G425:N425"/>
    <mergeCell ref="G426:O426"/>
    <mergeCell ref="G450:N450"/>
    <mergeCell ref="G451:O451"/>
  </mergeCells>
  <pageMargins left="0.7" right="0.7" top="0.75" bottom="0.75" header="0.3" footer="0.3"/>
  <pageSetup paperSize="9" orientation="portrait" horizontalDpi="30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L13" sqref="L13"/>
    </sheetView>
  </sheetViews>
  <sheetFormatPr baseColWidth="10" defaultRowHeight="15" x14ac:dyDescent="0.25"/>
  <cols>
    <col min="1" max="1" width="5.85546875" customWidth="1"/>
    <col min="2" max="2" width="8.42578125" customWidth="1"/>
    <col min="3" max="9" width="9" customWidth="1"/>
  </cols>
  <sheetData>
    <row r="1" spans="1:9" x14ac:dyDescent="0.25">
      <c r="A1" s="959" t="s">
        <v>531</v>
      </c>
      <c r="B1" s="960"/>
      <c r="C1" s="960"/>
      <c r="D1" s="960"/>
      <c r="E1" s="960"/>
      <c r="F1" s="960"/>
      <c r="G1" s="960"/>
      <c r="H1" s="960"/>
      <c r="I1" s="961"/>
    </row>
    <row r="2" spans="1:9" x14ac:dyDescent="0.25">
      <c r="A2" s="16"/>
      <c r="B2" s="37"/>
      <c r="C2" s="57">
        <f>IF('MT-ETUS'!J59="x",1,0)</f>
        <v>0</v>
      </c>
      <c r="D2" s="57">
        <f>IF('MT-ETUS'!J59="x",1,0)</f>
        <v>0</v>
      </c>
      <c r="E2" s="55" t="s">
        <v>563</v>
      </c>
      <c r="F2" s="58" t="e">
        <f>1/(1+('MT-ETUS'!S45*3600/'MT-ETUS'!O48/'MT-ETUS'!S48/'MT-ETUS'!Q48*(1/'MT-ETUS'!E47-1)))</f>
        <v>#DIV/0!</v>
      </c>
      <c r="G2" s="55" t="s">
        <v>562</v>
      </c>
      <c r="H2" s="59" t="e">
        <f>IF('MT-ETUS'!J59="x",1,('MT-ETUS'!W43/75)^(-0.25))</f>
        <v>#DIV/0!</v>
      </c>
      <c r="I2" s="56"/>
    </row>
    <row r="3" spans="1:9" x14ac:dyDescent="0.25">
      <c r="A3" s="61" t="s">
        <v>540</v>
      </c>
      <c r="B3" s="62"/>
      <c r="C3" s="55" t="s">
        <v>541</v>
      </c>
      <c r="D3" s="55" t="s">
        <v>542</v>
      </c>
      <c r="E3" s="55" t="s">
        <v>543</v>
      </c>
      <c r="F3" s="55" t="s">
        <v>544</v>
      </c>
      <c r="G3" s="55" t="s">
        <v>545</v>
      </c>
      <c r="H3" s="55" t="s">
        <v>546</v>
      </c>
      <c r="I3" s="63" t="s">
        <v>547</v>
      </c>
    </row>
    <row r="4" spans="1:9" x14ac:dyDescent="0.25">
      <c r="A4" s="64"/>
      <c r="B4" s="65"/>
      <c r="C4" s="66" t="s">
        <v>28</v>
      </c>
      <c r="D4" s="66" t="s">
        <v>28</v>
      </c>
      <c r="E4" s="66" t="s">
        <v>28</v>
      </c>
      <c r="F4" s="66"/>
      <c r="G4" s="66"/>
      <c r="H4" s="66"/>
      <c r="I4" s="67"/>
    </row>
    <row r="5" spans="1:9" x14ac:dyDescent="0.25">
      <c r="A5" s="68" t="s">
        <v>4</v>
      </c>
      <c r="B5" s="69">
        <v>31</v>
      </c>
      <c r="C5" s="70">
        <f>'MT-ETUS'!G$35*2.4*B5*C$2</f>
        <v>0</v>
      </c>
      <c r="D5" s="70">
        <f>4.186*'MT-ETUS'!$L$36*(24-'MT-ETUS'!G62)/1000*B5*D$2/3.6</f>
        <v>0</v>
      </c>
      <c r="E5" s="70">
        <f>IF('MT-ETUS'!$N$31=0,0.000001,4.186*'MT-ETUS'!$N$31*'MT-ETUS'!E62/100*('MT-ETUS'!$I$30-'MT-ETUS'!G62)/1000*B5/3.6)</f>
        <v>9.9999999999999995E-7</v>
      </c>
      <c r="F5" s="71">
        <f>(11.6+1.18*'MT-ETUS'!$W$30+3.86*'MT-ETUS'!G62-2.32*'MT-ETUS'!K62)/(100-'MT-ETUS'!K62)</f>
        <v>0.8681520314547837</v>
      </c>
      <c r="G5" s="71" t="e">
        <f>F5*'MT-ETUS'!$S$45*$F$2*(100-'MT-ETUS'!K62)*B5*24*'MT-ETUS'!$W$41*$H$2/'MT-ETUS'!O62/1000</f>
        <v>#DIV/0!</v>
      </c>
      <c r="H5" s="71" t="e">
        <f>'MT-ETUS'!$O$44*$F$2*'MT-ETUS'!$W$45*'MT-ETUS'!I62*'MT-ETUS'!$W$41/'MT-ETUS'!O62*B5</f>
        <v>#DIV/0!</v>
      </c>
      <c r="I5" s="72" t="e">
        <f t="shared" ref="I5:I16" si="0">(1.029*H5-0.065*G5-0.245*(H5^2)+0.0018*(G5^2)+0.0215*(H5^3))*100</f>
        <v>#DIV/0!</v>
      </c>
    </row>
    <row r="6" spans="1:9" x14ac:dyDescent="0.25">
      <c r="A6" s="68" t="s">
        <v>5</v>
      </c>
      <c r="B6" s="69">
        <v>28</v>
      </c>
      <c r="C6" s="70">
        <f>'MT-ETUS'!G$35*2.4*B6*C$2</f>
        <v>0</v>
      </c>
      <c r="D6" s="70">
        <f>4.186*'MT-ETUS'!$L$36*(24-'MT-ETUS'!G63)/1000*B6*D$2/3.6</f>
        <v>0</v>
      </c>
      <c r="E6" s="70">
        <f>IF('MT-ETUS'!$N$31=0,0.000001,4.186*'MT-ETUS'!$N$31*'MT-ETUS'!E63/100*('MT-ETUS'!$I$30-'MT-ETUS'!G63)/1000*B6/3.6)</f>
        <v>9.9999999999999995E-7</v>
      </c>
      <c r="F6" s="71">
        <f>(11.6+1.18*'MT-ETUS'!$W$30+3.86*'MT-ETUS'!G63-2.32*'MT-ETUS'!K63)/(100-'MT-ETUS'!K63)</f>
        <v>0.88822308690012974</v>
      </c>
      <c r="G6" s="71" t="e">
        <f>F6*'MT-ETUS'!$S$45*$F$2*(100-'MT-ETUS'!K63)*24*'MT-ETUS'!$W$41/'MT-ETUS'!O63/1000*$H$2*B6</f>
        <v>#DIV/0!</v>
      </c>
      <c r="H6" s="71" t="e">
        <f>'MT-ETUS'!$O$44*$F$2*'MT-ETUS'!$W$45*'MT-ETUS'!I63*'MT-ETUS'!$W$41/'MT-ETUS'!O63*B6</f>
        <v>#DIV/0!</v>
      </c>
      <c r="I6" s="72" t="e">
        <f t="shared" si="0"/>
        <v>#DIV/0!</v>
      </c>
    </row>
    <row r="7" spans="1:9" x14ac:dyDescent="0.25">
      <c r="A7" s="73" t="s">
        <v>6</v>
      </c>
      <c r="B7" s="74">
        <v>31</v>
      </c>
      <c r="C7" s="75">
        <f>'MT-ETUS'!G$35*2.4*B7*C$2</f>
        <v>0</v>
      </c>
      <c r="D7" s="75">
        <f>4.186*'MT-ETUS'!$L$36*(24-'MT-ETUS'!G64)/1000*B7*D$2/3.6</f>
        <v>0</v>
      </c>
      <c r="E7" s="75">
        <f>IF('MT-ETUS'!$N$31=0,0.000001,4.186*'MT-ETUS'!$N$31*'MT-ETUS'!E64/100*('MT-ETUS'!$I$30-'MT-ETUS'!G64)/1000*B7/3.6)</f>
        <v>9.9999999999999995E-7</v>
      </c>
      <c r="F7" s="76">
        <f>(11.6+1.18*'MT-ETUS'!$W$30+3.86*'MT-ETUS'!G64-2.32*'MT-ETUS'!K64)/(100-'MT-ETUS'!K64)</f>
        <v>0.80154822335025389</v>
      </c>
      <c r="G7" s="76" t="e">
        <f>F7*'MT-ETUS'!$S$45*$F$2*(100-'MT-ETUS'!K64)*24*'MT-ETUS'!$W$41/'MT-ETUS'!O64/1000*$H$2*B7</f>
        <v>#DIV/0!</v>
      </c>
      <c r="H7" s="76" t="e">
        <f>'MT-ETUS'!$O$44*$F$2*'MT-ETUS'!$W$45*'MT-ETUS'!I64*'MT-ETUS'!$W$41/'MT-ETUS'!O64*B7</f>
        <v>#DIV/0!</v>
      </c>
      <c r="I7" s="77" t="e">
        <f t="shared" si="0"/>
        <v>#DIV/0!</v>
      </c>
    </row>
    <row r="8" spans="1:9" x14ac:dyDescent="0.25">
      <c r="A8" s="68" t="s">
        <v>7</v>
      </c>
      <c r="B8" s="69">
        <v>30</v>
      </c>
      <c r="C8" s="70">
        <f>'MT-ETUS'!G$35*2.4*B8*C$2</f>
        <v>0</v>
      </c>
      <c r="D8" s="70">
        <f>4.186*'MT-ETUS'!$L$36*(24-'MT-ETUS'!G65)/1000*B8*D$2/3.6</f>
        <v>0</v>
      </c>
      <c r="E8" s="70">
        <f>IF('MT-ETUS'!$N$31=0,0.000001,4.186*'MT-ETUS'!$N$31*'MT-ETUS'!E65/100*('MT-ETUS'!$I$30-'MT-ETUS'!G65)/1000*B8/3.6)</f>
        <v>9.9999999999999995E-7</v>
      </c>
      <c r="F8" s="71">
        <f>(11.6+1.18*'MT-ETUS'!$W$30+3.86*'MT-ETUS'!G65-2.32*'MT-ETUS'!K65)/(100-'MT-ETUS'!K65)</f>
        <v>0.65571254567600501</v>
      </c>
      <c r="G8" s="71" t="e">
        <f>F8*'MT-ETUS'!$S$45*$F$2*(100-'MT-ETUS'!K65)*24*'MT-ETUS'!$W$41/'MT-ETUS'!O65/1000*$H$2*B8</f>
        <v>#DIV/0!</v>
      </c>
      <c r="H8" s="71" t="e">
        <f>'MT-ETUS'!$O$44*$F$2*'MT-ETUS'!$W$45*'MT-ETUS'!I65*'MT-ETUS'!$W$41/'MT-ETUS'!O65*B8</f>
        <v>#DIV/0!</v>
      </c>
      <c r="I8" s="72" t="e">
        <f t="shared" si="0"/>
        <v>#DIV/0!</v>
      </c>
    </row>
    <row r="9" spans="1:9" x14ac:dyDescent="0.25">
      <c r="A9" s="68" t="s">
        <v>8</v>
      </c>
      <c r="B9" s="69">
        <v>31</v>
      </c>
      <c r="C9" s="70">
        <f>'MT-ETUS'!G$35*2.4*B9*C$2</f>
        <v>0</v>
      </c>
      <c r="D9" s="70">
        <f>4.186*'MT-ETUS'!$L$36*(24-'MT-ETUS'!G66)/1000*B9*D$2/3.6</f>
        <v>0</v>
      </c>
      <c r="E9" s="70">
        <f>IF('MT-ETUS'!$N$31=0,0.000001,4.186*'MT-ETUS'!$N$31*'MT-ETUS'!E66/100*('MT-ETUS'!$I$30-'MT-ETUS'!G66)/1000*B9/3.6)</f>
        <v>9.9999999999999995E-7</v>
      </c>
      <c r="F9" s="71">
        <f>(11.6+1.18*'MT-ETUS'!$W$30+3.86*'MT-ETUS'!G66-2.32*'MT-ETUS'!K66)/(100-'MT-ETUS'!K66)</f>
        <v>0.48521126760563382</v>
      </c>
      <c r="G9" s="71" t="e">
        <f>F9*'MT-ETUS'!$S$45*$F$2*(100-'MT-ETUS'!K66)*24*'MT-ETUS'!$W$41/'MT-ETUS'!O66/1000*$H$2*B9</f>
        <v>#DIV/0!</v>
      </c>
      <c r="H9" s="71" t="e">
        <f>'MT-ETUS'!$O$44*$F$2*'MT-ETUS'!$W$45*'MT-ETUS'!I66*'MT-ETUS'!$W$41/'MT-ETUS'!O66*B9</f>
        <v>#DIV/0!</v>
      </c>
      <c r="I9" s="72" t="e">
        <f t="shared" si="0"/>
        <v>#DIV/0!</v>
      </c>
    </row>
    <row r="10" spans="1:9" x14ac:dyDescent="0.25">
      <c r="A10" s="73" t="s">
        <v>9</v>
      </c>
      <c r="B10" s="74">
        <v>30</v>
      </c>
      <c r="C10" s="75">
        <f>'MT-ETUS'!G$35*2.4*B10*C$2</f>
        <v>0</v>
      </c>
      <c r="D10" s="75">
        <f>4.186*'MT-ETUS'!$L$36*(24-'MT-ETUS'!G67)/1000*B10*D$2/3.6</f>
        <v>0</v>
      </c>
      <c r="E10" s="75">
        <f>IF('MT-ETUS'!$N$31=0,0.000001,4.186*'MT-ETUS'!$N$31*'MT-ETUS'!E67/100*('MT-ETUS'!$I$30-'MT-ETUS'!G67)/1000*B10/3.6)</f>
        <v>9.9999999999999995E-7</v>
      </c>
      <c r="F10" s="76">
        <f>(11.6+1.18*'MT-ETUS'!$W$30+3.86*'MT-ETUS'!G67-2.32*'MT-ETUS'!K67)/(100-'MT-ETUS'!K67)</f>
        <v>0.34853907134767848</v>
      </c>
      <c r="G10" s="76" t="e">
        <f>F10*'MT-ETUS'!$S$45*$F$2*(100-'MT-ETUS'!K67)*24*'MT-ETUS'!$W$41/'MT-ETUS'!O67/1000*$H$2*B10</f>
        <v>#DIV/0!</v>
      </c>
      <c r="H10" s="76" t="e">
        <f>'MT-ETUS'!$O$44*$F$2*'MT-ETUS'!$W$45*'MT-ETUS'!I67*'MT-ETUS'!$W$41/'MT-ETUS'!O67*B10</f>
        <v>#DIV/0!</v>
      </c>
      <c r="I10" s="77" t="e">
        <f t="shared" si="0"/>
        <v>#DIV/0!</v>
      </c>
    </row>
    <row r="11" spans="1:9" x14ac:dyDescent="0.25">
      <c r="A11" s="68" t="s">
        <v>10</v>
      </c>
      <c r="B11" s="69">
        <v>31</v>
      </c>
      <c r="C11" s="70">
        <f>'MT-ETUS'!G$35*2.4*B11*C$2</f>
        <v>0</v>
      </c>
      <c r="D11" s="70">
        <f>4.186*'MT-ETUS'!$L$36*(24-'MT-ETUS'!G68)/1000*B11*D$2/3.6</f>
        <v>0</v>
      </c>
      <c r="E11" s="70">
        <f>IF('MT-ETUS'!$N$31=0,0.000001,4.186*'MT-ETUS'!$N$31*'MT-ETUS'!E68/100*('MT-ETUS'!$I$30-'MT-ETUS'!G68)/1000*B11/3.6)</f>
        <v>9.9999999999999995E-7</v>
      </c>
      <c r="F11" s="71">
        <f>(11.6+1.18*'MT-ETUS'!$W$30+3.86*'MT-ETUS'!G68-2.32*'MT-ETUS'!K68)/(100-'MT-ETUS'!K68)</f>
        <v>0.23758465011286689</v>
      </c>
      <c r="G11" s="71" t="e">
        <f>F11*'MT-ETUS'!$S$45*$F$2*(100-'MT-ETUS'!K68)*24*'MT-ETUS'!$W$41/'MT-ETUS'!O68/1000*$H$2*B11</f>
        <v>#DIV/0!</v>
      </c>
      <c r="H11" s="71" t="e">
        <f>'MT-ETUS'!$O$44*$F$2*'MT-ETUS'!$W$45*'MT-ETUS'!I68*'MT-ETUS'!$W$41/'MT-ETUS'!O68*B11</f>
        <v>#DIV/0!</v>
      </c>
      <c r="I11" s="72" t="e">
        <f t="shared" si="0"/>
        <v>#DIV/0!</v>
      </c>
    </row>
    <row r="12" spans="1:9" x14ac:dyDescent="0.25">
      <c r="A12" s="68" t="s">
        <v>11</v>
      </c>
      <c r="B12" s="69">
        <v>31</v>
      </c>
      <c r="C12" s="70">
        <f>'MT-ETUS'!G$35*2.4*B12*C$2</f>
        <v>0</v>
      </c>
      <c r="D12" s="70">
        <f>4.186*'MT-ETUS'!$L$36*(24-'MT-ETUS'!G69)/1000*B12*D$2/3.6</f>
        <v>0</v>
      </c>
      <c r="E12" s="70">
        <f>IF('MT-ETUS'!$N$31=0,0.000001,4.186*'MT-ETUS'!$N$31*'MT-ETUS'!E69/100*('MT-ETUS'!$I$30-'MT-ETUS'!G69)/1000*B12/3.6)</f>
        <v>9.9999999999999995E-7</v>
      </c>
      <c r="F12" s="71">
        <f>(11.6+1.18*'MT-ETUS'!$W$30+3.86*'MT-ETUS'!G69-2.32*'MT-ETUS'!K69)/(100-'MT-ETUS'!K69)</f>
        <v>0.21421412300683371</v>
      </c>
      <c r="G12" s="71" t="e">
        <f>F12*'MT-ETUS'!$S$45*$F$2*(100-'MT-ETUS'!K69)*24*'MT-ETUS'!$W$41/'MT-ETUS'!O69/1000*$H$2*B12</f>
        <v>#DIV/0!</v>
      </c>
      <c r="H12" s="71" t="e">
        <f>'MT-ETUS'!$O$44*$F$2*'MT-ETUS'!$W$45*'MT-ETUS'!I69*'MT-ETUS'!$W$41/'MT-ETUS'!O69*B12</f>
        <v>#DIV/0!</v>
      </c>
      <c r="I12" s="72" t="e">
        <f t="shared" si="0"/>
        <v>#DIV/0!</v>
      </c>
    </row>
    <row r="13" spans="1:9" x14ac:dyDescent="0.25">
      <c r="A13" s="73" t="s">
        <v>12</v>
      </c>
      <c r="B13" s="74">
        <v>30</v>
      </c>
      <c r="C13" s="75">
        <f>'MT-ETUS'!G$35*2.4*B13*C$2</f>
        <v>0</v>
      </c>
      <c r="D13" s="75">
        <f>4.186*'MT-ETUS'!$L$36*(24-'MT-ETUS'!G70)/1000*B13*D$2/3.6</f>
        <v>0</v>
      </c>
      <c r="E13" s="75">
        <f>IF('MT-ETUS'!$N$31=0,0.000001,4.186*'MT-ETUS'!$N$31*'MT-ETUS'!E70/100*('MT-ETUS'!$I$30-'MT-ETUS'!G70)/1000*B13/3.6)</f>
        <v>9.9999999999999995E-7</v>
      </c>
      <c r="F13" s="76">
        <f>(11.6+1.18*'MT-ETUS'!$W$30+3.86*'MT-ETUS'!G70-2.32*'MT-ETUS'!K70)/(100-'MT-ETUS'!K70)</f>
        <v>0.27997671711292205</v>
      </c>
      <c r="G13" s="76" t="e">
        <f>F13*'MT-ETUS'!$S$45*$F$2*(100-'MT-ETUS'!K70)*24*'MT-ETUS'!$W$41/'MT-ETUS'!O70/1000*$H$2*B13</f>
        <v>#DIV/0!</v>
      </c>
      <c r="H13" s="76" t="e">
        <f>'MT-ETUS'!$O$44*$F$2*'MT-ETUS'!$W$45*'MT-ETUS'!I70*'MT-ETUS'!$W$41/'MT-ETUS'!O70*B13</f>
        <v>#DIV/0!</v>
      </c>
      <c r="I13" s="77" t="e">
        <f t="shared" si="0"/>
        <v>#DIV/0!</v>
      </c>
    </row>
    <row r="14" spans="1:9" x14ac:dyDescent="0.25">
      <c r="A14" s="68" t="s">
        <v>13</v>
      </c>
      <c r="B14" s="69">
        <v>31</v>
      </c>
      <c r="C14" s="70">
        <f>'MT-ETUS'!G$35*2.4*B14*C$2</f>
        <v>0</v>
      </c>
      <c r="D14" s="70">
        <f>4.186*'MT-ETUS'!$L$36*(24-'MT-ETUS'!G71)/1000*B14*D$2/3.6</f>
        <v>0</v>
      </c>
      <c r="E14" s="70">
        <f>IF('MT-ETUS'!$N$31=0,0.000001,4.186*'MT-ETUS'!$N$31*'MT-ETUS'!E71/100*('MT-ETUS'!$I$30-'MT-ETUS'!G71)/1000*B14/3.6)</f>
        <v>9.9999999999999995E-7</v>
      </c>
      <c r="F14" s="71">
        <f>(11.6+1.18*'MT-ETUS'!$W$30+3.86*'MT-ETUS'!G71-2.32*'MT-ETUS'!K71)/(100-'MT-ETUS'!K71)</f>
        <v>0.41790865384615378</v>
      </c>
      <c r="G14" s="71" t="e">
        <f>F14*'MT-ETUS'!$S$45*$F$2*(100-'MT-ETUS'!K71)*24*'MT-ETUS'!$W$41/'MT-ETUS'!O71/1000*$H$2*B14</f>
        <v>#DIV/0!</v>
      </c>
      <c r="H14" s="71" t="e">
        <f>'MT-ETUS'!$O$44*$F$2*'MT-ETUS'!$W$45*'MT-ETUS'!I71*'MT-ETUS'!$W$41/'MT-ETUS'!O71*B14</f>
        <v>#DIV/0!</v>
      </c>
      <c r="I14" s="72" t="e">
        <f t="shared" si="0"/>
        <v>#DIV/0!</v>
      </c>
    </row>
    <row r="15" spans="1:9" x14ac:dyDescent="0.25">
      <c r="A15" s="68" t="s">
        <v>14</v>
      </c>
      <c r="B15" s="69">
        <v>30</v>
      </c>
      <c r="C15" s="70">
        <f>'MT-ETUS'!G$35*2.4*B15*C$2</f>
        <v>0</v>
      </c>
      <c r="D15" s="70">
        <f>4.186*'MT-ETUS'!$L$36*(24-'MT-ETUS'!G72)/1000*B15*D$2/3.6</f>
        <v>0</v>
      </c>
      <c r="E15" s="70">
        <f>IF('MT-ETUS'!$N$31=0,0.000001,4.186*'MT-ETUS'!$N$31*'MT-ETUS'!E72/100*('MT-ETUS'!$I$30-'MT-ETUS'!G72)/1000*B15/3.6)</f>
        <v>9.9999999999999995E-7</v>
      </c>
      <c r="F15" s="71">
        <f>(11.6+1.18*'MT-ETUS'!$W$30+3.86*'MT-ETUS'!G72-2.32*'MT-ETUS'!K72)/(100-'MT-ETUS'!K72)</f>
        <v>0.60345341614906833</v>
      </c>
      <c r="G15" s="71" t="e">
        <f>F15*'MT-ETUS'!$S$45*$F$2*(100-'MT-ETUS'!K72)*24*'MT-ETUS'!$W$41/'MT-ETUS'!O72/1000*$H$2*B15</f>
        <v>#DIV/0!</v>
      </c>
      <c r="H15" s="71" t="e">
        <f>'MT-ETUS'!$O$44*$F$2*'MT-ETUS'!$W$45*'MT-ETUS'!I72*'MT-ETUS'!$W$41/'MT-ETUS'!O72*B15</f>
        <v>#DIV/0!</v>
      </c>
      <c r="I15" s="72" t="e">
        <f t="shared" si="0"/>
        <v>#DIV/0!</v>
      </c>
    </row>
    <row r="16" spans="1:9" x14ac:dyDescent="0.25">
      <c r="A16" s="73" t="s">
        <v>15</v>
      </c>
      <c r="B16" s="74">
        <v>31</v>
      </c>
      <c r="C16" s="75">
        <f>'MT-ETUS'!G$35*2.4*B16*C$2</f>
        <v>0</v>
      </c>
      <c r="D16" s="75">
        <f>4.186*'MT-ETUS'!$L$36*(24-'MT-ETUS'!G73)/1000*B16*D$2/3.6</f>
        <v>0</v>
      </c>
      <c r="E16" s="75">
        <f>IF('MT-ETUS'!$N$31=0,0.000001,4.186*'MT-ETUS'!$N$31*'MT-ETUS'!E73/100*('MT-ETUS'!$I$30-'MT-ETUS'!G73)/1000*B16/3.6)</f>
        <v>9.9999999999999995E-7</v>
      </c>
      <c r="F16" s="76">
        <f>(11.6+1.18*'MT-ETUS'!$W$30+3.86*'MT-ETUS'!G73-2.32*'MT-ETUS'!K73)/(100-'MT-ETUS'!K73)</f>
        <v>0.76514800514800496</v>
      </c>
      <c r="G16" s="76" t="e">
        <f>F16*'MT-ETUS'!$S$45*$F$2*(100-'MT-ETUS'!K73)*24*'MT-ETUS'!$W$41/'MT-ETUS'!O73/1000*$H$2*B16</f>
        <v>#DIV/0!</v>
      </c>
      <c r="H16" s="76" t="e">
        <f>'MT-ETUS'!$O$44*$F$2*'MT-ETUS'!$W$45*'MT-ETUS'!I73*'MT-ETUS'!$W$41/'MT-ETUS'!O73*B16</f>
        <v>#DIV/0!</v>
      </c>
      <c r="I16" s="77" t="e">
        <f t="shared" si="0"/>
        <v>#DIV/0!</v>
      </c>
    </row>
    <row r="17" spans="1:9" x14ac:dyDescent="0.25">
      <c r="A17" s="32"/>
      <c r="B17" s="62"/>
      <c r="C17" s="78"/>
      <c r="D17" s="78"/>
      <c r="E17" s="78"/>
      <c r="F17" s="54"/>
      <c r="G17" s="54"/>
      <c r="H17" s="54"/>
      <c r="I17" s="56"/>
    </row>
    <row r="18" spans="1:9" x14ac:dyDescent="0.25">
      <c r="A18" s="68"/>
      <c r="B18" s="1"/>
      <c r="C18" s="1"/>
      <c r="D18" s="1"/>
      <c r="E18" s="1"/>
      <c r="F18" s="79"/>
      <c r="G18" s="79"/>
      <c r="H18" s="79"/>
      <c r="I18" s="80"/>
    </row>
    <row r="19" spans="1:9" x14ac:dyDescent="0.25">
      <c r="A19" s="68" t="s">
        <v>560</v>
      </c>
      <c r="B19" s="69">
        <f>SUM(B5:B17)</f>
        <v>365</v>
      </c>
      <c r="C19" s="70">
        <f>SUM(C5:C16)</f>
        <v>0</v>
      </c>
      <c r="D19" s="70">
        <f>SUM(D5:D16)</f>
        <v>0</v>
      </c>
      <c r="E19" s="70">
        <f>SUM(E5:E16)</f>
        <v>1.2000000000000002E-5</v>
      </c>
      <c r="F19" s="81"/>
      <c r="G19" s="82"/>
      <c r="H19" s="83"/>
      <c r="I19" s="84"/>
    </row>
    <row r="20" spans="1:9" x14ac:dyDescent="0.25">
      <c r="A20" s="38"/>
      <c r="B20" s="39"/>
      <c r="C20" s="85" t="s">
        <v>28</v>
      </c>
      <c r="D20" s="85" t="s">
        <v>28</v>
      </c>
      <c r="E20" s="85" t="s">
        <v>28</v>
      </c>
      <c r="F20" s="85"/>
      <c r="G20" s="85"/>
      <c r="H20" s="85"/>
      <c r="I20" s="86"/>
    </row>
  </sheetData>
  <sheetProtection password="C7CA" sheet="1" objects="1" scenarios="1"/>
  <customSheetViews>
    <customSheetView guid="{FE4792CB-B919-4F54-9754-D4BC1B90FDF0}">
      <selection activeCell="I7" sqref="I7"/>
      <pageMargins left="0.7" right="0.7" top="0.75" bottom="0.75" header="0.3" footer="0.3"/>
    </customSheetView>
  </customSheetViews>
  <mergeCells count="1">
    <mergeCell ref="A1:I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36"/>
  <sheetViews>
    <sheetView topLeftCell="A10" workbookViewId="0">
      <selection activeCell="L1" sqref="L1"/>
    </sheetView>
  </sheetViews>
  <sheetFormatPr baseColWidth="10" defaultRowHeight="11.25" customHeight="1" x14ac:dyDescent="0.25"/>
  <cols>
    <col min="1" max="1" width="2.28515625" style="488" customWidth="1"/>
    <col min="2" max="2" width="3.85546875" style="489" customWidth="1"/>
    <col min="3" max="3" width="9" style="490" customWidth="1"/>
    <col min="4" max="4" width="25.7109375" style="488" customWidth="1"/>
    <col min="5" max="5" width="8.7109375" style="489" customWidth="1"/>
    <col min="6" max="6" width="24.5703125" style="488" customWidth="1"/>
    <col min="7" max="8" width="1.85546875" style="491" customWidth="1"/>
    <col min="9" max="9" width="1.85546875" style="492" customWidth="1"/>
    <col min="10" max="10" width="15.7109375" style="489" customWidth="1"/>
    <col min="11" max="11" width="60.7109375" style="488" customWidth="1"/>
    <col min="12" max="20" width="3.7109375" style="489" customWidth="1"/>
    <col min="21" max="21" width="2.28515625" customWidth="1"/>
    <col min="22" max="26" width="3.7109375" style="489" customWidth="1"/>
    <col min="27" max="16384" width="11.42578125" style="488"/>
  </cols>
  <sheetData>
    <row r="1" spans="1:26" s="413" customFormat="1" ht="11.25" customHeight="1" x14ac:dyDescent="0.25">
      <c r="B1" s="414"/>
      <c r="C1" s="415"/>
      <c r="E1" s="414"/>
      <c r="G1" s="416"/>
      <c r="H1" s="416"/>
      <c r="I1" s="417"/>
      <c r="J1" s="414"/>
      <c r="L1" s="414" t="s">
        <v>1870</v>
      </c>
      <c r="M1" s="414"/>
      <c r="N1" s="414" t="s">
        <v>828</v>
      </c>
      <c r="O1" s="414" t="s">
        <v>827</v>
      </c>
      <c r="Q1" s="418" t="s">
        <v>564</v>
      </c>
      <c r="R1" s="418"/>
      <c r="S1" s="418"/>
      <c r="T1" s="418"/>
      <c r="U1" s="411"/>
      <c r="V1" s="412" t="s">
        <v>565</v>
      </c>
      <c r="W1" s="25"/>
      <c r="X1" s="25"/>
      <c r="Y1" s="26"/>
    </row>
    <row r="2" spans="1:26" s="413" customFormat="1" ht="11.25" customHeight="1" x14ac:dyDescent="0.25">
      <c r="A2" s="419">
        <f>'MT-ETUS'!Z3</f>
        <v>5</v>
      </c>
      <c r="B2" s="962" t="s">
        <v>829</v>
      </c>
      <c r="C2" s="963"/>
      <c r="D2" s="963"/>
      <c r="E2" s="963"/>
      <c r="F2" s="964"/>
      <c r="G2" s="965" t="s">
        <v>156</v>
      </c>
      <c r="H2" s="965"/>
      <c r="I2" s="965"/>
      <c r="J2" s="419">
        <f>'MT-ETUS'!T1</f>
        <v>0</v>
      </c>
      <c r="L2" s="414"/>
      <c r="M2" s="414"/>
      <c r="N2" s="414"/>
      <c r="O2" s="414"/>
      <c r="P2" s="414" t="s">
        <v>569</v>
      </c>
      <c r="Q2" s="414" t="s">
        <v>568</v>
      </c>
      <c r="R2" s="414" t="s">
        <v>567</v>
      </c>
      <c r="S2" s="414" t="s">
        <v>566</v>
      </c>
      <c r="T2" s="414" t="s">
        <v>573</v>
      </c>
      <c r="U2" s="414"/>
      <c r="V2" s="414" t="s">
        <v>572</v>
      </c>
      <c r="W2" s="414" t="s">
        <v>571</v>
      </c>
      <c r="X2" s="414" t="s">
        <v>570</v>
      </c>
      <c r="Y2" s="414" t="s">
        <v>574</v>
      </c>
      <c r="Z2" s="414"/>
    </row>
    <row r="3" spans="1:26" s="420" customFormat="1" ht="11.25" customHeight="1" x14ac:dyDescent="0.25">
      <c r="B3" s="421"/>
      <c r="C3" s="422" t="s">
        <v>738</v>
      </c>
      <c r="D3" s="423" t="s">
        <v>830</v>
      </c>
      <c r="E3" s="424" t="s">
        <v>831</v>
      </c>
      <c r="F3" s="423" t="s">
        <v>832</v>
      </c>
      <c r="G3" s="425" t="s">
        <v>728</v>
      </c>
      <c r="H3" s="426" t="s">
        <v>833</v>
      </c>
      <c r="I3" s="426" t="s">
        <v>834</v>
      </c>
      <c r="J3" s="427" t="s">
        <v>835</v>
      </c>
      <c r="K3" s="420" t="s">
        <v>1744</v>
      </c>
      <c r="L3" s="416"/>
      <c r="M3" s="510"/>
      <c r="N3" s="428"/>
      <c r="O3" s="429">
        <f>A2</f>
        <v>5</v>
      </c>
      <c r="P3" s="414">
        <v>1</v>
      </c>
      <c r="Q3" s="414">
        <v>2</v>
      </c>
      <c r="R3" s="414">
        <v>3</v>
      </c>
      <c r="S3" s="414">
        <v>4</v>
      </c>
      <c r="T3" s="414">
        <v>5</v>
      </c>
      <c r="U3" s="430"/>
      <c r="V3" s="414">
        <v>6</v>
      </c>
      <c r="W3" s="414">
        <v>7</v>
      </c>
      <c r="X3" s="414">
        <v>8</v>
      </c>
      <c r="Y3" s="414">
        <v>9</v>
      </c>
      <c r="Z3" s="413"/>
    </row>
    <row r="4" spans="1:26" s="420" customFormat="1" ht="11.25" customHeight="1" x14ac:dyDescent="0.25">
      <c r="B4" s="431">
        <v>1</v>
      </c>
      <c r="C4" s="432" t="s">
        <v>837</v>
      </c>
      <c r="D4" s="433" t="s">
        <v>838</v>
      </c>
      <c r="E4" s="434"/>
      <c r="F4" s="433"/>
      <c r="G4" s="435"/>
      <c r="H4" s="435"/>
      <c r="I4" s="436"/>
      <c r="J4" s="414"/>
      <c r="L4" s="414">
        <v>0</v>
      </c>
      <c r="M4" s="414"/>
      <c r="N4" s="428"/>
      <c r="O4" s="386">
        <f t="shared" ref="O4:O67" si="0">IF(O$3=0,0,IF(O$3=1,P4,IF(O$3=2,Q4,IF(O$3=3,R4,IF(O$3=4,S4,IF(O$3=5,T4,IF(O$3=6,V4,IF(O$3=7,W4,IF(O$3=8,X4,IF(O$3=9,Y4,0))))))))))</f>
        <v>1</v>
      </c>
      <c r="P4" s="414">
        <v>0</v>
      </c>
      <c r="Q4" s="414">
        <v>0</v>
      </c>
      <c r="R4" s="414">
        <v>0</v>
      </c>
      <c r="S4" s="414">
        <v>1</v>
      </c>
      <c r="T4" s="414">
        <v>1</v>
      </c>
      <c r="U4" s="414"/>
      <c r="V4" s="414">
        <v>0</v>
      </c>
      <c r="W4" s="414">
        <v>0</v>
      </c>
      <c r="X4" s="414">
        <v>1</v>
      </c>
      <c r="Y4" s="414">
        <v>1</v>
      </c>
      <c r="Z4" s="414"/>
    </row>
    <row r="5" spans="1:26" s="420" customFormat="1" ht="11.25" customHeight="1" x14ac:dyDescent="0.25">
      <c r="B5" s="431">
        <v>2</v>
      </c>
      <c r="C5" s="437" t="s">
        <v>839</v>
      </c>
      <c r="D5" s="438" t="s">
        <v>840</v>
      </c>
      <c r="E5" s="431" t="s">
        <v>841</v>
      </c>
      <c r="F5" s="438" t="s">
        <v>842</v>
      </c>
      <c r="G5" s="439"/>
      <c r="H5" s="439"/>
      <c r="I5" s="440"/>
      <c r="J5" s="414"/>
      <c r="K5" s="413" t="s">
        <v>843</v>
      </c>
      <c r="L5" s="414">
        <v>5</v>
      </c>
      <c r="M5" s="414"/>
      <c r="N5" s="414"/>
      <c r="O5" s="386">
        <f t="shared" si="0"/>
        <v>1</v>
      </c>
      <c r="P5" s="414">
        <v>0</v>
      </c>
      <c r="Q5" s="414">
        <v>0</v>
      </c>
      <c r="R5" s="414">
        <v>0</v>
      </c>
      <c r="S5" s="414">
        <v>1</v>
      </c>
      <c r="T5" s="414">
        <v>1</v>
      </c>
      <c r="U5" s="414"/>
      <c r="V5" s="414">
        <v>0</v>
      </c>
      <c r="W5" s="414">
        <v>0</v>
      </c>
      <c r="X5" s="414">
        <v>1</v>
      </c>
      <c r="Y5" s="414">
        <v>1</v>
      </c>
      <c r="Z5" s="414"/>
    </row>
    <row r="6" spans="1:26" s="413" customFormat="1" ht="11.25" customHeight="1" x14ac:dyDescent="0.25">
      <c r="B6" s="431">
        <v>3</v>
      </c>
      <c r="C6" s="437" t="s">
        <v>844</v>
      </c>
      <c r="D6" s="438" t="s">
        <v>845</v>
      </c>
      <c r="E6" s="431" t="s">
        <v>841</v>
      </c>
      <c r="F6" s="441" t="s">
        <v>846</v>
      </c>
      <c r="G6" s="439"/>
      <c r="H6" s="439"/>
      <c r="I6" s="440"/>
      <c r="J6" s="414"/>
      <c r="K6" s="442" t="s">
        <v>847</v>
      </c>
      <c r="L6" s="414">
        <v>5</v>
      </c>
      <c r="M6" s="414"/>
      <c r="N6" s="443"/>
      <c r="O6" s="386">
        <f t="shared" si="0"/>
        <v>1</v>
      </c>
      <c r="P6" s="414">
        <v>0</v>
      </c>
      <c r="Q6" s="414">
        <v>0</v>
      </c>
      <c r="R6" s="414">
        <v>0</v>
      </c>
      <c r="S6" s="414">
        <v>1</v>
      </c>
      <c r="T6" s="414">
        <v>1</v>
      </c>
      <c r="U6" s="414"/>
      <c r="V6" s="414">
        <v>0</v>
      </c>
      <c r="W6" s="414">
        <v>0</v>
      </c>
      <c r="X6" s="414">
        <v>1</v>
      </c>
      <c r="Y6" s="414">
        <v>1</v>
      </c>
      <c r="Z6" s="414"/>
    </row>
    <row r="7" spans="1:26" s="413" customFormat="1" ht="11.25" customHeight="1" x14ac:dyDescent="0.25">
      <c r="B7" s="431">
        <v>4</v>
      </c>
      <c r="C7" s="437" t="s">
        <v>844</v>
      </c>
      <c r="D7" s="438" t="s">
        <v>848</v>
      </c>
      <c r="E7" s="431" t="s">
        <v>841</v>
      </c>
      <c r="F7" s="441" t="s">
        <v>846</v>
      </c>
      <c r="G7" s="439"/>
      <c r="H7" s="439"/>
      <c r="I7" s="440"/>
      <c r="J7" s="414"/>
      <c r="K7" s="444"/>
      <c r="L7" s="414">
        <v>5</v>
      </c>
      <c r="M7" s="414"/>
      <c r="N7" s="416"/>
      <c r="O7" s="386">
        <f t="shared" si="0"/>
        <v>1</v>
      </c>
      <c r="P7" s="414">
        <v>0</v>
      </c>
      <c r="Q7" s="414">
        <v>0</v>
      </c>
      <c r="R7" s="414">
        <v>0</v>
      </c>
      <c r="S7" s="414">
        <v>1</v>
      </c>
      <c r="T7" s="414">
        <v>1</v>
      </c>
      <c r="U7" s="414"/>
      <c r="V7" s="414">
        <v>0</v>
      </c>
      <c r="W7" s="414">
        <v>0</v>
      </c>
      <c r="X7" s="414">
        <v>1</v>
      </c>
      <c r="Y7" s="414">
        <v>1</v>
      </c>
      <c r="Z7" s="414"/>
    </row>
    <row r="8" spans="1:26" s="413" customFormat="1" ht="11.25" customHeight="1" x14ac:dyDescent="0.25">
      <c r="B8" s="431">
        <v>5</v>
      </c>
      <c r="C8" s="437" t="s">
        <v>844</v>
      </c>
      <c r="D8" s="438" t="s">
        <v>849</v>
      </c>
      <c r="E8" s="431" t="s">
        <v>841</v>
      </c>
      <c r="F8" s="441" t="s">
        <v>846</v>
      </c>
      <c r="G8" s="439"/>
      <c r="H8" s="439"/>
      <c r="I8" s="440"/>
      <c r="J8" s="414"/>
      <c r="K8" s="444"/>
      <c r="L8" s="414">
        <v>5</v>
      </c>
      <c r="M8" s="414"/>
      <c r="N8" s="416"/>
      <c r="O8" s="386">
        <f t="shared" si="0"/>
        <v>1</v>
      </c>
      <c r="P8" s="414">
        <v>0</v>
      </c>
      <c r="Q8" s="414">
        <v>0</v>
      </c>
      <c r="R8" s="414">
        <v>0</v>
      </c>
      <c r="S8" s="414">
        <v>1</v>
      </c>
      <c r="T8" s="414">
        <v>1</v>
      </c>
      <c r="U8" s="414"/>
      <c r="V8" s="414">
        <v>0</v>
      </c>
      <c r="W8" s="414">
        <v>0</v>
      </c>
      <c r="X8" s="414">
        <v>1</v>
      </c>
      <c r="Y8" s="414">
        <v>1</v>
      </c>
      <c r="Z8" s="414"/>
    </row>
    <row r="9" spans="1:26" s="413" customFormat="1" ht="11.25" customHeight="1" x14ac:dyDescent="0.25">
      <c r="B9" s="431">
        <v>6</v>
      </c>
      <c r="C9" s="437" t="s">
        <v>844</v>
      </c>
      <c r="D9" s="438" t="s">
        <v>850</v>
      </c>
      <c r="E9" s="431" t="s">
        <v>841</v>
      </c>
      <c r="F9" s="441" t="s">
        <v>846</v>
      </c>
      <c r="G9" s="439"/>
      <c r="H9" s="439"/>
      <c r="I9" s="440"/>
      <c r="J9" s="414"/>
      <c r="K9" s="444"/>
      <c r="L9" s="414">
        <v>5</v>
      </c>
      <c r="M9" s="414"/>
      <c r="N9" s="416"/>
      <c r="O9" s="386">
        <f t="shared" si="0"/>
        <v>1</v>
      </c>
      <c r="P9" s="414">
        <v>0</v>
      </c>
      <c r="Q9" s="414">
        <v>0</v>
      </c>
      <c r="R9" s="414">
        <v>0</v>
      </c>
      <c r="S9" s="414">
        <v>1</v>
      </c>
      <c r="T9" s="414">
        <v>1</v>
      </c>
      <c r="U9" s="414"/>
      <c r="V9" s="414">
        <v>0</v>
      </c>
      <c r="W9" s="414">
        <v>0</v>
      </c>
      <c r="X9" s="414">
        <v>1</v>
      </c>
      <c r="Y9" s="414">
        <v>1</v>
      </c>
      <c r="Z9" s="414"/>
    </row>
    <row r="10" spans="1:26" s="413" customFormat="1" ht="11.25" customHeight="1" x14ac:dyDescent="0.25">
      <c r="B10" s="431">
        <v>7</v>
      </c>
      <c r="C10" s="437" t="s">
        <v>851</v>
      </c>
      <c r="D10" s="438" t="s">
        <v>852</v>
      </c>
      <c r="E10" s="431" t="s">
        <v>841</v>
      </c>
      <c r="F10" s="441" t="s">
        <v>846</v>
      </c>
      <c r="G10" s="439"/>
      <c r="H10" s="439"/>
      <c r="I10" s="440"/>
      <c r="J10" s="414"/>
      <c r="K10" s="444"/>
      <c r="L10" s="414">
        <v>5</v>
      </c>
      <c r="M10" s="414"/>
      <c r="N10" s="416"/>
      <c r="O10" s="386">
        <f t="shared" si="0"/>
        <v>1</v>
      </c>
      <c r="P10" s="414">
        <v>0</v>
      </c>
      <c r="Q10" s="414">
        <v>0</v>
      </c>
      <c r="R10" s="414">
        <v>0</v>
      </c>
      <c r="S10" s="414">
        <v>1</v>
      </c>
      <c r="T10" s="414">
        <v>1</v>
      </c>
      <c r="U10" s="414"/>
      <c r="V10" s="414">
        <v>0</v>
      </c>
      <c r="W10" s="414">
        <v>0</v>
      </c>
      <c r="X10" s="414">
        <v>1</v>
      </c>
      <c r="Y10" s="414">
        <v>1</v>
      </c>
      <c r="Z10" s="414"/>
    </row>
    <row r="11" spans="1:26" s="413" customFormat="1" ht="11.25" customHeight="1" x14ac:dyDescent="0.25">
      <c r="B11" s="431">
        <v>8</v>
      </c>
      <c r="C11" s="437" t="s">
        <v>853</v>
      </c>
      <c r="D11" s="438" t="s">
        <v>854</v>
      </c>
      <c r="E11" s="431" t="s">
        <v>841</v>
      </c>
      <c r="F11" s="441" t="s">
        <v>846</v>
      </c>
      <c r="G11" s="439"/>
      <c r="H11" s="439"/>
      <c r="I11" s="440"/>
      <c r="J11" s="414"/>
      <c r="K11" s="444"/>
      <c r="L11" s="414">
        <v>5</v>
      </c>
      <c r="M11" s="414"/>
      <c r="N11" s="416"/>
      <c r="O11" s="386">
        <f t="shared" si="0"/>
        <v>1</v>
      </c>
      <c r="P11" s="414">
        <v>0</v>
      </c>
      <c r="Q11" s="414">
        <v>0</v>
      </c>
      <c r="R11" s="414">
        <v>0</v>
      </c>
      <c r="S11" s="414">
        <v>1</v>
      </c>
      <c r="T11" s="414">
        <v>1</v>
      </c>
      <c r="U11" s="414"/>
      <c r="V11" s="414">
        <v>0</v>
      </c>
      <c r="W11" s="414">
        <v>0</v>
      </c>
      <c r="X11" s="414">
        <v>1</v>
      </c>
      <c r="Y11" s="414">
        <v>1</v>
      </c>
      <c r="Z11" s="414"/>
    </row>
    <row r="12" spans="1:26" s="413" customFormat="1" ht="11.25" customHeight="1" x14ac:dyDescent="0.25">
      <c r="B12" s="431">
        <v>9</v>
      </c>
      <c r="C12" s="437" t="s">
        <v>853</v>
      </c>
      <c r="D12" s="438" t="s">
        <v>855</v>
      </c>
      <c r="E12" s="431" t="s">
        <v>841</v>
      </c>
      <c r="F12" s="441" t="s">
        <v>846</v>
      </c>
      <c r="G12" s="439"/>
      <c r="H12" s="439"/>
      <c r="I12" s="440"/>
      <c r="J12" s="414"/>
      <c r="K12" s="445"/>
      <c r="L12" s="414">
        <v>5</v>
      </c>
      <c r="M12" s="414"/>
      <c r="N12" s="416"/>
      <c r="O12" s="386">
        <f t="shared" si="0"/>
        <v>1</v>
      </c>
      <c r="P12" s="414">
        <v>0</v>
      </c>
      <c r="Q12" s="414">
        <v>0</v>
      </c>
      <c r="R12" s="414">
        <v>0</v>
      </c>
      <c r="S12" s="414">
        <v>1</v>
      </c>
      <c r="T12" s="414">
        <v>1</v>
      </c>
      <c r="U12" s="414"/>
      <c r="V12" s="414">
        <v>0</v>
      </c>
      <c r="W12" s="414">
        <v>0</v>
      </c>
      <c r="X12" s="414">
        <v>1</v>
      </c>
      <c r="Y12" s="414">
        <v>1</v>
      </c>
      <c r="Z12" s="414"/>
    </row>
    <row r="13" spans="1:26" s="413" customFormat="1" ht="11.25" customHeight="1" x14ac:dyDescent="0.25">
      <c r="B13" s="431">
        <v>10</v>
      </c>
      <c r="C13" s="437" t="s">
        <v>238</v>
      </c>
      <c r="D13" s="438" t="s">
        <v>856</v>
      </c>
      <c r="E13" s="431" t="s">
        <v>857</v>
      </c>
      <c r="F13" s="446" t="s">
        <v>858</v>
      </c>
      <c r="G13" s="439"/>
      <c r="H13" s="439"/>
      <c r="I13" s="440"/>
      <c r="J13" s="414"/>
      <c r="K13" s="447" t="s">
        <v>859</v>
      </c>
      <c r="L13" s="414">
        <v>5</v>
      </c>
      <c r="M13" s="414"/>
      <c r="N13" s="416"/>
      <c r="O13" s="386">
        <f t="shared" si="0"/>
        <v>1</v>
      </c>
      <c r="P13" s="414">
        <v>0</v>
      </c>
      <c r="Q13" s="414">
        <v>0</v>
      </c>
      <c r="R13" s="414">
        <v>0</v>
      </c>
      <c r="S13" s="414">
        <v>1</v>
      </c>
      <c r="T13" s="414">
        <v>1</v>
      </c>
      <c r="U13" s="414"/>
      <c r="V13" s="414">
        <v>0</v>
      </c>
      <c r="W13" s="414">
        <v>0</v>
      </c>
      <c r="X13" s="414">
        <v>1</v>
      </c>
      <c r="Y13" s="414">
        <v>1</v>
      </c>
      <c r="Z13" s="414"/>
    </row>
    <row r="14" spans="1:26" s="413" customFormat="1" ht="11.25" customHeight="1" x14ac:dyDescent="0.25">
      <c r="B14" s="431">
        <v>11</v>
      </c>
      <c r="C14" s="437" t="s">
        <v>860</v>
      </c>
      <c r="D14" s="438" t="s">
        <v>861</v>
      </c>
      <c r="E14" s="431" t="s">
        <v>862</v>
      </c>
      <c r="F14" s="438" t="s">
        <v>863</v>
      </c>
      <c r="G14" s="439"/>
      <c r="H14" s="439"/>
      <c r="I14" s="440"/>
      <c r="J14" s="414"/>
      <c r="K14" s="413" t="s">
        <v>864</v>
      </c>
      <c r="L14" s="414">
        <v>6</v>
      </c>
      <c r="M14" s="414"/>
      <c r="N14" s="414"/>
      <c r="O14" s="386">
        <f t="shared" si="0"/>
        <v>1</v>
      </c>
      <c r="P14" s="414">
        <v>0</v>
      </c>
      <c r="Q14" s="414">
        <v>0</v>
      </c>
      <c r="R14" s="414">
        <v>0</v>
      </c>
      <c r="S14" s="414">
        <v>1</v>
      </c>
      <c r="T14" s="414">
        <v>1</v>
      </c>
      <c r="U14" s="414"/>
      <c r="V14" s="414">
        <v>0</v>
      </c>
      <c r="W14" s="414">
        <v>0</v>
      </c>
      <c r="X14" s="414">
        <v>0</v>
      </c>
      <c r="Y14" s="414">
        <v>0</v>
      </c>
      <c r="Z14" s="414"/>
    </row>
    <row r="15" spans="1:26" s="413" customFormat="1" ht="11.25" customHeight="1" x14ac:dyDescent="0.25">
      <c r="B15" s="431">
        <v>12</v>
      </c>
      <c r="C15" s="437" t="s">
        <v>860</v>
      </c>
      <c r="D15" s="438" t="s">
        <v>865</v>
      </c>
      <c r="E15" s="431" t="s">
        <v>866</v>
      </c>
      <c r="F15" s="438" t="s">
        <v>867</v>
      </c>
      <c r="G15" s="439"/>
      <c r="H15" s="439"/>
      <c r="I15" s="440"/>
      <c r="J15" s="414"/>
      <c r="K15" s="413" t="s">
        <v>868</v>
      </c>
      <c r="L15" s="414">
        <v>6</v>
      </c>
      <c r="M15" s="414"/>
      <c r="N15" s="414">
        <v>1</v>
      </c>
      <c r="O15" s="386">
        <f t="shared" si="0"/>
        <v>1</v>
      </c>
      <c r="P15" s="414">
        <v>0</v>
      </c>
      <c r="Q15" s="414">
        <v>0</v>
      </c>
      <c r="R15" s="414">
        <v>0</v>
      </c>
      <c r="S15" s="414">
        <v>1</v>
      </c>
      <c r="T15" s="414">
        <v>1</v>
      </c>
      <c r="U15" s="414"/>
      <c r="V15" s="414">
        <v>0</v>
      </c>
      <c r="W15" s="414">
        <v>0</v>
      </c>
      <c r="X15" s="414">
        <v>0</v>
      </c>
      <c r="Y15" s="414">
        <v>0</v>
      </c>
      <c r="Z15" s="414"/>
    </row>
    <row r="16" spans="1:26" s="413" customFormat="1" ht="11.25" customHeight="1" x14ac:dyDescent="0.25">
      <c r="B16" s="431">
        <v>13</v>
      </c>
      <c r="C16" s="437" t="s">
        <v>869</v>
      </c>
      <c r="D16" s="438" t="s">
        <v>870</v>
      </c>
      <c r="E16" s="431" t="s">
        <v>871</v>
      </c>
      <c r="F16" s="438" t="s">
        <v>872</v>
      </c>
      <c r="G16" s="439"/>
      <c r="H16" s="439"/>
      <c r="I16" s="440"/>
      <c r="J16" s="414"/>
      <c r="K16" s="413" t="s">
        <v>873</v>
      </c>
      <c r="L16" s="414">
        <v>6</v>
      </c>
      <c r="M16" s="414"/>
      <c r="N16" s="414"/>
      <c r="O16" s="386">
        <f t="shared" si="0"/>
        <v>1</v>
      </c>
      <c r="P16" s="414">
        <v>0</v>
      </c>
      <c r="Q16" s="414">
        <v>0</v>
      </c>
      <c r="R16" s="414">
        <v>0</v>
      </c>
      <c r="S16" s="414">
        <v>1</v>
      </c>
      <c r="T16" s="414">
        <v>1</v>
      </c>
      <c r="U16" s="414"/>
      <c r="V16" s="414">
        <v>0</v>
      </c>
      <c r="W16" s="414">
        <v>0</v>
      </c>
      <c r="X16" s="414">
        <v>0</v>
      </c>
      <c r="Y16" s="414">
        <v>0</v>
      </c>
      <c r="Z16" s="414"/>
    </row>
    <row r="17" spans="2:26" s="413" customFormat="1" ht="11.25" customHeight="1" x14ac:dyDescent="0.25">
      <c r="B17" s="431">
        <v>14</v>
      </c>
      <c r="C17" s="437" t="s">
        <v>869</v>
      </c>
      <c r="D17" s="438" t="s">
        <v>874</v>
      </c>
      <c r="E17" s="431" t="s">
        <v>875</v>
      </c>
      <c r="F17" s="438" t="s">
        <v>876</v>
      </c>
      <c r="G17" s="439"/>
      <c r="H17" s="439"/>
      <c r="I17" s="440"/>
      <c r="J17" s="414"/>
      <c r="K17" s="413" t="s">
        <v>877</v>
      </c>
      <c r="L17" s="414">
        <v>6</v>
      </c>
      <c r="M17" s="414"/>
      <c r="N17" s="414">
        <v>1</v>
      </c>
      <c r="O17" s="386">
        <f t="shared" si="0"/>
        <v>1</v>
      </c>
      <c r="P17" s="414">
        <v>0</v>
      </c>
      <c r="Q17" s="414">
        <v>0</v>
      </c>
      <c r="R17" s="414">
        <v>0</v>
      </c>
      <c r="S17" s="414">
        <v>1</v>
      </c>
      <c r="T17" s="414">
        <v>1</v>
      </c>
      <c r="U17" s="414"/>
      <c r="V17" s="414">
        <v>0</v>
      </c>
      <c r="W17" s="414">
        <v>0</v>
      </c>
      <c r="X17" s="414">
        <v>0</v>
      </c>
      <c r="Y17" s="414">
        <v>0</v>
      </c>
      <c r="Z17" s="414"/>
    </row>
    <row r="18" spans="2:26" s="413" customFormat="1" ht="11.25" customHeight="1" x14ac:dyDescent="0.25">
      <c r="B18" s="431">
        <v>15</v>
      </c>
      <c r="C18" s="437" t="s">
        <v>878</v>
      </c>
      <c r="D18" s="438" t="s">
        <v>879</v>
      </c>
      <c r="E18" s="431"/>
      <c r="F18" s="438" t="s">
        <v>880</v>
      </c>
      <c r="G18" s="439"/>
      <c r="H18" s="439"/>
      <c r="I18" s="440"/>
      <c r="J18" s="414"/>
      <c r="K18" s="413" t="s">
        <v>881</v>
      </c>
      <c r="L18" s="414">
        <v>5</v>
      </c>
      <c r="M18" s="414"/>
      <c r="N18" s="414">
        <v>1</v>
      </c>
      <c r="O18" s="386">
        <f t="shared" si="0"/>
        <v>1</v>
      </c>
      <c r="P18" s="414">
        <v>0</v>
      </c>
      <c r="Q18" s="414">
        <v>0</v>
      </c>
      <c r="R18" s="414">
        <v>0</v>
      </c>
      <c r="S18" s="414">
        <v>1</v>
      </c>
      <c r="T18" s="414">
        <v>1</v>
      </c>
      <c r="U18" s="414"/>
      <c r="V18" s="414">
        <v>0</v>
      </c>
      <c r="W18" s="414">
        <v>0</v>
      </c>
      <c r="X18" s="414">
        <v>0</v>
      </c>
      <c r="Y18" s="414">
        <v>0</v>
      </c>
      <c r="Z18" s="414"/>
    </row>
    <row r="19" spans="2:26" s="413" customFormat="1" ht="11.25" customHeight="1" x14ac:dyDescent="0.25">
      <c r="B19" s="431">
        <v>16</v>
      </c>
      <c r="C19" s="437" t="s">
        <v>882</v>
      </c>
      <c r="D19" s="438" t="s">
        <v>883</v>
      </c>
      <c r="E19" s="431" t="s">
        <v>884</v>
      </c>
      <c r="F19" s="448" t="str">
        <f>'MT-ETUS'!M231&amp;" - "&amp;'MT-ETUS'!U231</f>
        <v xml:space="preserve">- - </v>
      </c>
      <c r="G19" s="439"/>
      <c r="H19" s="439"/>
      <c r="I19" s="440"/>
      <c r="J19" s="414"/>
      <c r="K19" s="413" t="s">
        <v>885</v>
      </c>
      <c r="L19" s="414">
        <v>5</v>
      </c>
      <c r="M19" s="414"/>
      <c r="N19" s="414"/>
      <c r="O19" s="386">
        <f t="shared" si="0"/>
        <v>1</v>
      </c>
      <c r="P19" s="414">
        <v>0</v>
      </c>
      <c r="Q19" s="414">
        <v>0</v>
      </c>
      <c r="R19" s="414">
        <v>0</v>
      </c>
      <c r="S19" s="414">
        <v>1</v>
      </c>
      <c r="T19" s="414">
        <v>1</v>
      </c>
      <c r="U19" s="414"/>
      <c r="V19" s="414">
        <v>0</v>
      </c>
      <c r="W19" s="414">
        <v>0</v>
      </c>
      <c r="X19" s="414">
        <v>0</v>
      </c>
      <c r="Y19" s="414">
        <v>0</v>
      </c>
      <c r="Z19" s="414"/>
    </row>
    <row r="20" spans="2:26" s="413" customFormat="1" ht="11.25" customHeight="1" x14ac:dyDescent="0.25">
      <c r="B20" s="431">
        <v>17</v>
      </c>
      <c r="C20" s="437" t="s">
        <v>886</v>
      </c>
      <c r="D20" s="438" t="s">
        <v>887</v>
      </c>
      <c r="E20" s="431"/>
      <c r="F20" s="438" t="s">
        <v>888</v>
      </c>
      <c r="G20" s="439"/>
      <c r="H20" s="439"/>
      <c r="I20" s="440"/>
      <c r="J20" s="414"/>
      <c r="K20" s="413" t="s">
        <v>889</v>
      </c>
      <c r="L20" s="414">
        <v>4</v>
      </c>
      <c r="M20" s="414"/>
      <c r="N20" s="414">
        <v>1</v>
      </c>
      <c r="O20" s="386">
        <f t="shared" si="0"/>
        <v>1</v>
      </c>
      <c r="P20" s="414">
        <v>0</v>
      </c>
      <c r="Q20" s="414">
        <v>0</v>
      </c>
      <c r="R20" s="414">
        <v>0</v>
      </c>
      <c r="S20" s="414">
        <v>1</v>
      </c>
      <c r="T20" s="414">
        <v>1</v>
      </c>
      <c r="U20" s="414"/>
      <c r="V20" s="414">
        <v>0</v>
      </c>
      <c r="W20" s="414">
        <v>0</v>
      </c>
      <c r="X20" s="414">
        <v>0</v>
      </c>
      <c r="Y20" s="414">
        <v>0</v>
      </c>
      <c r="Z20" s="414"/>
    </row>
    <row r="21" spans="2:26" s="413" customFormat="1" ht="11.25" customHeight="1" x14ac:dyDescent="0.25">
      <c r="B21" s="431">
        <v>18</v>
      </c>
      <c r="C21" s="437" t="s">
        <v>886</v>
      </c>
      <c r="D21" s="438" t="s">
        <v>890</v>
      </c>
      <c r="E21" s="431"/>
      <c r="F21" s="438" t="s">
        <v>888</v>
      </c>
      <c r="G21" s="439"/>
      <c r="H21" s="439"/>
      <c r="I21" s="440"/>
      <c r="J21" s="414"/>
      <c r="K21" s="413" t="s">
        <v>891</v>
      </c>
      <c r="L21" s="414">
        <v>4</v>
      </c>
      <c r="M21" s="414"/>
      <c r="N21" s="414">
        <v>1</v>
      </c>
      <c r="O21" s="386">
        <f t="shared" si="0"/>
        <v>1</v>
      </c>
      <c r="P21" s="414">
        <v>0</v>
      </c>
      <c r="Q21" s="414">
        <v>0</v>
      </c>
      <c r="R21" s="414">
        <v>0</v>
      </c>
      <c r="S21" s="414">
        <v>1</v>
      </c>
      <c r="T21" s="414">
        <v>1</v>
      </c>
      <c r="U21" s="414"/>
      <c r="V21" s="414">
        <v>0</v>
      </c>
      <c r="W21" s="414">
        <v>0</v>
      </c>
      <c r="X21" s="414">
        <v>0</v>
      </c>
      <c r="Y21" s="414">
        <v>0</v>
      </c>
      <c r="Z21" s="414"/>
    </row>
    <row r="22" spans="2:26" s="413" customFormat="1" ht="11.25" customHeight="1" x14ac:dyDescent="0.25">
      <c r="B22" s="431">
        <v>19</v>
      </c>
      <c r="C22" s="437" t="s">
        <v>892</v>
      </c>
      <c r="D22" s="438" t="s">
        <v>893</v>
      </c>
      <c r="E22" s="431"/>
      <c r="F22" s="438" t="s">
        <v>894</v>
      </c>
      <c r="G22" s="439"/>
      <c r="H22" s="439"/>
      <c r="I22" s="440"/>
      <c r="J22" s="414"/>
      <c r="K22" s="413" t="s">
        <v>895</v>
      </c>
      <c r="L22" s="414">
        <v>4</v>
      </c>
      <c r="M22" s="414"/>
      <c r="N22" s="414">
        <v>1</v>
      </c>
      <c r="O22" s="386">
        <f t="shared" si="0"/>
        <v>1</v>
      </c>
      <c r="P22" s="414">
        <v>0</v>
      </c>
      <c r="Q22" s="414">
        <v>0</v>
      </c>
      <c r="R22" s="414">
        <v>0</v>
      </c>
      <c r="S22" s="414">
        <v>1</v>
      </c>
      <c r="T22" s="414">
        <v>1</v>
      </c>
      <c r="U22" s="414"/>
      <c r="V22" s="414">
        <v>0</v>
      </c>
      <c r="W22" s="414">
        <v>0</v>
      </c>
      <c r="X22" s="414">
        <v>0</v>
      </c>
      <c r="Y22" s="414">
        <v>0</v>
      </c>
      <c r="Z22" s="414"/>
    </row>
    <row r="23" spans="2:26" s="413" customFormat="1" ht="11.25" customHeight="1" x14ac:dyDescent="0.25">
      <c r="B23" s="431">
        <v>20</v>
      </c>
      <c r="C23" s="437" t="s">
        <v>892</v>
      </c>
      <c r="D23" s="438" t="s">
        <v>893</v>
      </c>
      <c r="E23" s="431"/>
      <c r="F23" s="438" t="s">
        <v>894</v>
      </c>
      <c r="G23" s="439"/>
      <c r="H23" s="439"/>
      <c r="I23" s="440"/>
      <c r="J23" s="414"/>
      <c r="K23" s="413" t="s">
        <v>896</v>
      </c>
      <c r="L23" s="414">
        <v>4</v>
      </c>
      <c r="M23" s="414"/>
      <c r="N23" s="414">
        <v>1</v>
      </c>
      <c r="O23" s="386">
        <f t="shared" si="0"/>
        <v>1</v>
      </c>
      <c r="P23" s="414">
        <v>0</v>
      </c>
      <c r="Q23" s="414">
        <v>0</v>
      </c>
      <c r="R23" s="414">
        <v>0</v>
      </c>
      <c r="S23" s="414">
        <v>1</v>
      </c>
      <c r="T23" s="414">
        <v>1</v>
      </c>
      <c r="U23" s="414"/>
      <c r="V23" s="414">
        <v>0</v>
      </c>
      <c r="W23" s="414">
        <v>0</v>
      </c>
      <c r="X23" s="414">
        <v>1</v>
      </c>
      <c r="Y23" s="414">
        <v>1</v>
      </c>
      <c r="Z23" s="414"/>
    </row>
    <row r="24" spans="2:26" s="413" customFormat="1" ht="11.25" customHeight="1" x14ac:dyDescent="0.25">
      <c r="B24" s="431">
        <v>21</v>
      </c>
      <c r="C24" s="437" t="s">
        <v>897</v>
      </c>
      <c r="D24" s="438" t="s">
        <v>898</v>
      </c>
      <c r="E24" s="431"/>
      <c r="F24" s="438" t="s">
        <v>899</v>
      </c>
      <c r="G24" s="439"/>
      <c r="H24" s="439"/>
      <c r="I24" s="440"/>
      <c r="J24" s="414"/>
      <c r="K24" s="413" t="s">
        <v>900</v>
      </c>
      <c r="L24" s="414">
        <v>4</v>
      </c>
      <c r="M24" s="414"/>
      <c r="N24" s="414">
        <v>1</v>
      </c>
      <c r="O24" s="386">
        <f t="shared" si="0"/>
        <v>1</v>
      </c>
      <c r="P24" s="414">
        <v>0</v>
      </c>
      <c r="Q24" s="414">
        <v>0</v>
      </c>
      <c r="R24" s="414">
        <v>0</v>
      </c>
      <c r="S24" s="414">
        <v>1</v>
      </c>
      <c r="T24" s="414">
        <v>1</v>
      </c>
      <c r="U24" s="414"/>
      <c r="V24" s="414">
        <v>0</v>
      </c>
      <c r="W24" s="414">
        <v>0</v>
      </c>
      <c r="X24" s="414">
        <v>0</v>
      </c>
      <c r="Y24" s="414">
        <v>0</v>
      </c>
      <c r="Z24" s="414"/>
    </row>
    <row r="25" spans="2:26" s="413" customFormat="1" ht="11.25" customHeight="1" x14ac:dyDescent="0.25">
      <c r="B25" s="431">
        <v>22</v>
      </c>
      <c r="C25" s="437" t="s">
        <v>897</v>
      </c>
      <c r="D25" s="438" t="s">
        <v>898</v>
      </c>
      <c r="E25" s="431"/>
      <c r="F25" s="438" t="s">
        <v>899</v>
      </c>
      <c r="G25" s="439"/>
      <c r="H25" s="439"/>
      <c r="I25" s="440"/>
      <c r="J25" s="414"/>
      <c r="K25" s="413" t="s">
        <v>901</v>
      </c>
      <c r="L25" s="414">
        <v>4</v>
      </c>
      <c r="M25" s="414"/>
      <c r="N25" s="414">
        <v>1</v>
      </c>
      <c r="O25" s="386">
        <f t="shared" si="0"/>
        <v>1</v>
      </c>
      <c r="P25" s="414">
        <v>0</v>
      </c>
      <c r="Q25" s="414">
        <v>0</v>
      </c>
      <c r="R25" s="414">
        <v>0</v>
      </c>
      <c r="S25" s="414">
        <v>1</v>
      </c>
      <c r="T25" s="414">
        <v>1</v>
      </c>
      <c r="U25" s="414"/>
      <c r="V25" s="414">
        <v>0</v>
      </c>
      <c r="W25" s="414">
        <v>0</v>
      </c>
      <c r="X25" s="414">
        <v>1</v>
      </c>
      <c r="Y25" s="414">
        <v>1</v>
      </c>
      <c r="Z25" s="414"/>
    </row>
    <row r="26" spans="2:26" s="413" customFormat="1" ht="11.25" customHeight="1" x14ac:dyDescent="0.25">
      <c r="B26" s="431">
        <v>23</v>
      </c>
      <c r="C26" s="437" t="s">
        <v>902</v>
      </c>
      <c r="D26" s="438" t="s">
        <v>903</v>
      </c>
      <c r="E26" s="431"/>
      <c r="F26" s="438" t="s">
        <v>904</v>
      </c>
      <c r="G26" s="439"/>
      <c r="H26" s="439"/>
      <c r="I26" s="440"/>
      <c r="J26" s="414"/>
      <c r="K26" s="413" t="s">
        <v>905</v>
      </c>
      <c r="L26" s="414">
        <v>4</v>
      </c>
      <c r="M26" s="414"/>
      <c r="N26" s="414">
        <v>1</v>
      </c>
      <c r="O26" s="386">
        <f t="shared" si="0"/>
        <v>1</v>
      </c>
      <c r="P26" s="414">
        <v>0</v>
      </c>
      <c r="Q26" s="414">
        <v>0</v>
      </c>
      <c r="R26" s="414">
        <v>0</v>
      </c>
      <c r="S26" s="414">
        <v>1</v>
      </c>
      <c r="T26" s="414">
        <v>1</v>
      </c>
      <c r="U26" s="414"/>
      <c r="V26" s="414">
        <v>0</v>
      </c>
      <c r="W26" s="414">
        <v>0</v>
      </c>
      <c r="X26" s="414">
        <v>1</v>
      </c>
      <c r="Y26" s="414">
        <v>1</v>
      </c>
      <c r="Z26" s="414"/>
    </row>
    <row r="27" spans="2:26" s="413" customFormat="1" ht="11.25" customHeight="1" x14ac:dyDescent="0.25">
      <c r="B27" s="431">
        <v>24</v>
      </c>
      <c r="C27" s="437" t="s">
        <v>906</v>
      </c>
      <c r="D27" s="438" t="s">
        <v>907</v>
      </c>
      <c r="E27" s="431" t="s">
        <v>908</v>
      </c>
      <c r="F27" s="438" t="s">
        <v>909</v>
      </c>
      <c r="G27" s="439"/>
      <c r="H27" s="439"/>
      <c r="I27" s="440"/>
      <c r="J27" s="414"/>
      <c r="K27" s="413" t="s">
        <v>910</v>
      </c>
      <c r="L27" s="414">
        <v>6</v>
      </c>
      <c r="M27" s="414"/>
      <c r="N27" s="414"/>
      <c r="O27" s="386">
        <f t="shared" si="0"/>
        <v>0</v>
      </c>
      <c r="P27" s="414">
        <v>0</v>
      </c>
      <c r="Q27" s="414">
        <v>0</v>
      </c>
      <c r="R27" s="414">
        <v>0</v>
      </c>
      <c r="S27" s="414">
        <v>0</v>
      </c>
      <c r="T27" s="414">
        <v>0</v>
      </c>
      <c r="U27" s="414"/>
      <c r="V27" s="414">
        <v>0</v>
      </c>
      <c r="W27" s="414">
        <v>0</v>
      </c>
      <c r="X27" s="414">
        <v>1</v>
      </c>
      <c r="Y27" s="414">
        <v>1</v>
      </c>
      <c r="Z27" s="414"/>
    </row>
    <row r="28" spans="2:26" s="413" customFormat="1" ht="11.25" customHeight="1" x14ac:dyDescent="0.25">
      <c r="B28" s="431">
        <v>25</v>
      </c>
      <c r="C28" s="437" t="s">
        <v>906</v>
      </c>
      <c r="D28" s="438" t="s">
        <v>398</v>
      </c>
      <c r="E28" s="431" t="s">
        <v>908</v>
      </c>
      <c r="F28" s="438" t="s">
        <v>911</v>
      </c>
      <c r="G28" s="439"/>
      <c r="H28" s="439"/>
      <c r="I28" s="440"/>
      <c r="J28" s="414"/>
      <c r="K28" s="413" t="s">
        <v>912</v>
      </c>
      <c r="L28" s="414">
        <v>6</v>
      </c>
      <c r="M28" s="414"/>
      <c r="N28" s="414">
        <v>1</v>
      </c>
      <c r="O28" s="386">
        <f t="shared" si="0"/>
        <v>0</v>
      </c>
      <c r="P28" s="414">
        <v>0</v>
      </c>
      <c r="Q28" s="414">
        <v>0</v>
      </c>
      <c r="R28" s="414">
        <v>0</v>
      </c>
      <c r="S28" s="414">
        <v>0</v>
      </c>
      <c r="T28" s="414">
        <v>0</v>
      </c>
      <c r="U28" s="414"/>
      <c r="V28" s="414">
        <v>0</v>
      </c>
      <c r="W28" s="414">
        <v>0</v>
      </c>
      <c r="X28" s="414">
        <v>1</v>
      </c>
      <c r="Y28" s="414">
        <v>1</v>
      </c>
      <c r="Z28" s="414"/>
    </row>
    <row r="29" spans="2:26" s="413" customFormat="1" ht="11.25" customHeight="1" x14ac:dyDescent="0.25">
      <c r="B29" s="431">
        <v>26</v>
      </c>
      <c r="C29" s="437"/>
      <c r="D29" s="438"/>
      <c r="E29" s="431"/>
      <c r="F29" s="438"/>
      <c r="G29" s="439"/>
      <c r="H29" s="439"/>
      <c r="I29" s="440"/>
      <c r="J29" s="414"/>
      <c r="L29" s="414">
        <v>0</v>
      </c>
      <c r="M29" s="414"/>
      <c r="N29" s="414"/>
      <c r="O29" s="386">
        <f t="shared" si="0"/>
        <v>0</v>
      </c>
      <c r="P29" s="414">
        <v>0</v>
      </c>
      <c r="Q29" s="414">
        <v>0</v>
      </c>
      <c r="R29" s="414">
        <v>0</v>
      </c>
      <c r="S29" s="414">
        <v>0</v>
      </c>
      <c r="T29" s="414">
        <v>0</v>
      </c>
      <c r="U29" s="414"/>
      <c r="V29" s="414">
        <v>0</v>
      </c>
      <c r="W29" s="414">
        <v>0</v>
      </c>
      <c r="X29" s="414">
        <v>0</v>
      </c>
      <c r="Y29" s="414">
        <v>0</v>
      </c>
      <c r="Z29" s="414"/>
    </row>
    <row r="30" spans="2:26" s="420" customFormat="1" ht="11.25" customHeight="1" x14ac:dyDescent="0.25">
      <c r="B30" s="431">
        <v>27</v>
      </c>
      <c r="C30" s="432" t="s">
        <v>913</v>
      </c>
      <c r="D30" s="433" t="s">
        <v>914</v>
      </c>
      <c r="E30" s="434"/>
      <c r="F30" s="433"/>
      <c r="G30" s="435"/>
      <c r="H30" s="435"/>
      <c r="I30" s="436"/>
      <c r="J30" s="414"/>
      <c r="L30" s="414">
        <v>0</v>
      </c>
      <c r="M30" s="414"/>
      <c r="N30" s="428"/>
      <c r="O30" s="386" t="str">
        <f t="shared" si="0"/>
        <v>x</v>
      </c>
      <c r="P30" s="414" t="s">
        <v>2</v>
      </c>
      <c r="Q30" s="414" t="s">
        <v>2</v>
      </c>
      <c r="R30" s="414" t="s">
        <v>2</v>
      </c>
      <c r="S30" s="414" t="s">
        <v>2</v>
      </c>
      <c r="T30" s="414" t="s">
        <v>2</v>
      </c>
      <c r="U30" s="414"/>
      <c r="V30" s="414" t="s">
        <v>2</v>
      </c>
      <c r="W30" s="414" t="s">
        <v>2</v>
      </c>
      <c r="X30" s="414" t="s">
        <v>2</v>
      </c>
      <c r="Y30" s="414" t="s">
        <v>2</v>
      </c>
      <c r="Z30" s="414"/>
    </row>
    <row r="31" spans="2:26" s="413" customFormat="1" ht="11.25" customHeight="1" x14ac:dyDescent="0.25">
      <c r="B31" s="431">
        <v>28</v>
      </c>
      <c r="C31" s="437" t="s">
        <v>915</v>
      </c>
      <c r="D31" s="438" t="s">
        <v>144</v>
      </c>
      <c r="E31" s="431" t="s">
        <v>916</v>
      </c>
      <c r="F31" s="448" t="str">
        <f>'MT-ETUS'!M81&amp;" - "&amp;'MT-ETUS'!Q81</f>
        <v xml:space="preserve">- - </v>
      </c>
      <c r="G31" s="439"/>
      <c r="H31" s="439"/>
      <c r="I31" s="440"/>
      <c r="J31" s="414"/>
      <c r="K31" s="413" t="s">
        <v>1740</v>
      </c>
      <c r="L31" s="414">
        <v>0</v>
      </c>
      <c r="M31" s="414"/>
      <c r="N31" s="414"/>
      <c r="O31" s="386">
        <f t="shared" si="0"/>
        <v>1</v>
      </c>
      <c r="P31" s="414">
        <v>0</v>
      </c>
      <c r="Q31" s="414">
        <v>1</v>
      </c>
      <c r="R31" s="414">
        <v>1</v>
      </c>
      <c r="S31" s="414">
        <v>1</v>
      </c>
      <c r="T31" s="414">
        <v>1</v>
      </c>
      <c r="U31" s="414"/>
      <c r="V31" s="414">
        <v>1</v>
      </c>
      <c r="W31" s="414">
        <v>1</v>
      </c>
      <c r="X31" s="414">
        <v>1</v>
      </c>
      <c r="Y31" s="414">
        <v>1</v>
      </c>
      <c r="Z31" s="414"/>
    </row>
    <row r="32" spans="2:26" s="413" customFormat="1" ht="11.25" customHeight="1" x14ac:dyDescent="0.25">
      <c r="B32" s="431">
        <v>29</v>
      </c>
      <c r="C32" s="437" t="s">
        <v>917</v>
      </c>
      <c r="D32" s="438" t="s">
        <v>344</v>
      </c>
      <c r="E32" s="431" t="s">
        <v>918</v>
      </c>
      <c r="F32" s="448" t="str">
        <f>'MT-ETUS'!M82&amp;" - "&amp;'MT-ETUS'!Q82</f>
        <v xml:space="preserve">- - </v>
      </c>
      <c r="G32" s="439"/>
      <c r="H32" s="439"/>
      <c r="I32" s="440"/>
      <c r="J32" s="414"/>
      <c r="K32" s="413" t="s">
        <v>919</v>
      </c>
      <c r="L32" s="414">
        <v>0</v>
      </c>
      <c r="M32" s="414"/>
      <c r="N32" s="414"/>
      <c r="O32" s="386">
        <f t="shared" si="0"/>
        <v>0</v>
      </c>
      <c r="P32" s="414">
        <v>0</v>
      </c>
      <c r="Q32" s="414">
        <v>0</v>
      </c>
      <c r="R32" s="414">
        <v>0</v>
      </c>
      <c r="S32" s="414">
        <v>0</v>
      </c>
      <c r="T32" s="414">
        <v>0</v>
      </c>
      <c r="U32" s="414"/>
      <c r="V32" s="414">
        <v>0</v>
      </c>
      <c r="W32" s="414">
        <v>0</v>
      </c>
      <c r="X32" s="414">
        <v>0</v>
      </c>
      <c r="Y32" s="414">
        <v>0</v>
      </c>
      <c r="Z32" s="414"/>
    </row>
    <row r="33" spans="1:26" s="413" customFormat="1" ht="11.25" customHeight="1" x14ac:dyDescent="0.25">
      <c r="B33" s="431">
        <v>30</v>
      </c>
      <c r="C33" s="437" t="s">
        <v>920</v>
      </c>
      <c r="D33" s="438" t="s">
        <v>345</v>
      </c>
      <c r="E33" s="431" t="s">
        <v>921</v>
      </c>
      <c r="F33" s="448" t="str">
        <f>'MT-ETUS'!M83&amp;" - "&amp;'MT-ETUS'!Q83</f>
        <v xml:space="preserve">- - </v>
      </c>
      <c r="G33" s="439"/>
      <c r="H33" s="439"/>
      <c r="I33" s="440"/>
      <c r="J33" s="414"/>
      <c r="K33" s="413" t="s">
        <v>919</v>
      </c>
      <c r="L33" s="414">
        <v>0</v>
      </c>
      <c r="M33" s="414"/>
      <c r="N33" s="414"/>
      <c r="O33" s="386">
        <f t="shared" si="0"/>
        <v>0</v>
      </c>
      <c r="P33" s="414">
        <v>0</v>
      </c>
      <c r="Q33" s="414">
        <v>0</v>
      </c>
      <c r="R33" s="414">
        <v>0</v>
      </c>
      <c r="S33" s="414">
        <v>0</v>
      </c>
      <c r="T33" s="414">
        <v>0</v>
      </c>
      <c r="U33" s="414"/>
      <c r="V33" s="414">
        <v>0</v>
      </c>
      <c r="W33" s="414">
        <v>0</v>
      </c>
      <c r="X33" s="414">
        <v>0</v>
      </c>
      <c r="Y33" s="414">
        <v>0</v>
      </c>
      <c r="Z33" s="414"/>
    </row>
    <row r="34" spans="1:26" s="413" customFormat="1" ht="11.25" customHeight="1" x14ac:dyDescent="0.25">
      <c r="B34" s="431">
        <v>31</v>
      </c>
      <c r="C34" s="437" t="s">
        <v>922</v>
      </c>
      <c r="D34" s="438" t="s">
        <v>459</v>
      </c>
      <c r="E34" s="431" t="s">
        <v>923</v>
      </c>
      <c r="F34" s="448" t="str">
        <f>'MT-ETUS'!M84&amp;" - "&amp;'MT-ETUS'!Q84</f>
        <v xml:space="preserve">- - </v>
      </c>
      <c r="G34" s="439"/>
      <c r="H34" s="439"/>
      <c r="I34" s="440"/>
      <c r="J34" s="414"/>
      <c r="K34" s="413" t="s">
        <v>919</v>
      </c>
      <c r="L34" s="414">
        <v>0</v>
      </c>
      <c r="M34" s="414"/>
      <c r="N34" s="414"/>
      <c r="O34" s="386">
        <f t="shared" si="0"/>
        <v>0</v>
      </c>
      <c r="P34" s="414">
        <v>0</v>
      </c>
      <c r="Q34" s="414">
        <v>0</v>
      </c>
      <c r="R34" s="414">
        <v>0</v>
      </c>
      <c r="S34" s="414">
        <v>0</v>
      </c>
      <c r="T34" s="414">
        <v>0</v>
      </c>
      <c r="U34" s="414"/>
      <c r="V34" s="414">
        <v>0</v>
      </c>
      <c r="W34" s="414">
        <v>0</v>
      </c>
      <c r="X34" s="414">
        <v>0</v>
      </c>
      <c r="Y34" s="414">
        <v>0</v>
      </c>
      <c r="Z34" s="414"/>
    </row>
    <row r="35" spans="1:26" s="413" customFormat="1" ht="11.25" customHeight="1" x14ac:dyDescent="0.25">
      <c r="B35" s="431">
        <v>32</v>
      </c>
      <c r="C35" s="437" t="s">
        <v>924</v>
      </c>
      <c r="D35" s="438" t="s">
        <v>77</v>
      </c>
      <c r="E35" s="431" t="s">
        <v>925</v>
      </c>
      <c r="F35" s="448" t="str">
        <f>'MT-ETUS'!M85&amp;" - "&amp;'MT-ETUS'!Q85</f>
        <v xml:space="preserve">- - </v>
      </c>
      <c r="G35" s="439"/>
      <c r="H35" s="439"/>
      <c r="I35" s="440"/>
      <c r="J35" s="414"/>
      <c r="K35" s="413" t="s">
        <v>919</v>
      </c>
      <c r="L35" s="414">
        <v>0</v>
      </c>
      <c r="M35" s="414"/>
      <c r="N35" s="414"/>
      <c r="O35" s="386">
        <f t="shared" si="0"/>
        <v>0</v>
      </c>
      <c r="P35" s="414">
        <v>0</v>
      </c>
      <c r="Q35" s="414">
        <v>0</v>
      </c>
      <c r="R35" s="414">
        <v>0</v>
      </c>
      <c r="S35" s="414">
        <v>0</v>
      </c>
      <c r="T35" s="414">
        <v>0</v>
      </c>
      <c r="U35" s="414"/>
      <c r="V35" s="414">
        <v>0</v>
      </c>
      <c r="W35" s="414">
        <v>0</v>
      </c>
      <c r="X35" s="414">
        <v>0</v>
      </c>
      <c r="Y35" s="414">
        <v>0</v>
      </c>
      <c r="Z35" s="414"/>
    </row>
    <row r="36" spans="1:26" s="413" customFormat="1" ht="11.25" customHeight="1" x14ac:dyDescent="0.25">
      <c r="B36" s="431">
        <v>33</v>
      </c>
      <c r="C36" s="437" t="s">
        <v>926</v>
      </c>
      <c r="D36" s="438" t="s">
        <v>346</v>
      </c>
      <c r="E36" s="431" t="s">
        <v>927</v>
      </c>
      <c r="F36" s="448" t="str">
        <f>'MT-ETUS'!M86&amp;" - "&amp;'MT-ETUS'!Q86</f>
        <v xml:space="preserve">- - </v>
      </c>
      <c r="G36" s="439"/>
      <c r="H36" s="439"/>
      <c r="I36" s="440"/>
      <c r="J36" s="414"/>
      <c r="K36" s="413" t="s">
        <v>919</v>
      </c>
      <c r="L36" s="414">
        <v>0</v>
      </c>
      <c r="M36" s="414"/>
      <c r="N36" s="414"/>
      <c r="O36" s="386">
        <f t="shared" si="0"/>
        <v>0</v>
      </c>
      <c r="P36" s="414">
        <v>0</v>
      </c>
      <c r="Q36" s="414">
        <v>0</v>
      </c>
      <c r="R36" s="414">
        <v>0</v>
      </c>
      <c r="S36" s="414">
        <v>0</v>
      </c>
      <c r="T36" s="414">
        <v>0</v>
      </c>
      <c r="U36" s="414"/>
      <c r="V36" s="414">
        <v>0</v>
      </c>
      <c r="W36" s="414">
        <v>0</v>
      </c>
      <c r="X36" s="414">
        <v>0</v>
      </c>
      <c r="Y36" s="414">
        <v>0</v>
      </c>
      <c r="Z36" s="414"/>
    </row>
    <row r="37" spans="1:26" s="413" customFormat="1" ht="11.25" customHeight="1" x14ac:dyDescent="0.25">
      <c r="B37" s="431">
        <v>34</v>
      </c>
      <c r="C37" s="437" t="s">
        <v>928</v>
      </c>
      <c r="D37" s="438" t="s">
        <v>16</v>
      </c>
      <c r="E37" s="431" t="s">
        <v>929</v>
      </c>
      <c r="F37" s="448" t="str">
        <f>'MT-ETUS'!M87&amp;" - "&amp;'MT-ETUS'!Q87</f>
        <v xml:space="preserve">- - </v>
      </c>
      <c r="G37" s="439"/>
      <c r="H37" s="439"/>
      <c r="I37" s="440"/>
      <c r="J37" s="414"/>
      <c r="K37" s="413" t="s">
        <v>919</v>
      </c>
      <c r="L37" s="414">
        <v>0</v>
      </c>
      <c r="M37" s="414"/>
      <c r="N37" s="414"/>
      <c r="O37" s="386">
        <f t="shared" si="0"/>
        <v>0</v>
      </c>
      <c r="P37" s="414">
        <v>0</v>
      </c>
      <c r="Q37" s="414">
        <v>0</v>
      </c>
      <c r="R37" s="414">
        <v>0</v>
      </c>
      <c r="S37" s="414">
        <v>0</v>
      </c>
      <c r="T37" s="414">
        <v>0</v>
      </c>
      <c r="U37" s="414"/>
      <c r="V37" s="414">
        <v>0</v>
      </c>
      <c r="W37" s="414">
        <v>0</v>
      </c>
      <c r="X37" s="414">
        <v>1</v>
      </c>
      <c r="Y37" s="414">
        <v>1</v>
      </c>
      <c r="Z37" s="414"/>
    </row>
    <row r="38" spans="1:26" s="413" customFormat="1" ht="11.25" customHeight="1" x14ac:dyDescent="0.25">
      <c r="B38" s="431">
        <v>35</v>
      </c>
      <c r="C38" s="437" t="s">
        <v>928</v>
      </c>
      <c r="D38" s="438" t="s">
        <v>417</v>
      </c>
      <c r="E38" s="431" t="s">
        <v>930</v>
      </c>
      <c r="F38" s="448" t="str">
        <f>'MT-ETUS'!M264&amp;" - "&amp;'MT-ETUS'!Q264</f>
        <v xml:space="preserve">- - </v>
      </c>
      <c r="G38" s="439"/>
      <c r="H38" s="439"/>
      <c r="I38" s="440"/>
      <c r="J38" s="414"/>
      <c r="K38" s="413" t="s">
        <v>919</v>
      </c>
      <c r="L38" s="414">
        <v>0</v>
      </c>
      <c r="M38" s="414"/>
      <c r="N38" s="414"/>
      <c r="O38" s="386">
        <f t="shared" si="0"/>
        <v>0</v>
      </c>
      <c r="P38" s="414">
        <v>0</v>
      </c>
      <c r="Q38" s="414">
        <v>0</v>
      </c>
      <c r="R38" s="414">
        <v>0</v>
      </c>
      <c r="S38" s="414">
        <v>0</v>
      </c>
      <c r="T38" s="414">
        <v>0</v>
      </c>
      <c r="U38" s="414"/>
      <c r="V38" s="414">
        <v>0</v>
      </c>
      <c r="W38" s="414">
        <v>0</v>
      </c>
      <c r="X38" s="414">
        <v>1</v>
      </c>
      <c r="Y38" s="414">
        <v>1</v>
      </c>
      <c r="Z38" s="414"/>
    </row>
    <row r="39" spans="1:26" s="413" customFormat="1" ht="11.25" customHeight="1" x14ac:dyDescent="0.25">
      <c r="B39" s="431">
        <v>36</v>
      </c>
      <c r="C39" s="437" t="s">
        <v>931</v>
      </c>
      <c r="D39" s="438" t="s">
        <v>344</v>
      </c>
      <c r="E39" s="431" t="s">
        <v>918</v>
      </c>
      <c r="F39" s="438" t="str">
        <f t="shared" ref="F39:F45" si="1">F32</f>
        <v xml:space="preserve">- - </v>
      </c>
      <c r="G39" s="439"/>
      <c r="H39" s="439"/>
      <c r="I39" s="440"/>
      <c r="J39" s="414"/>
      <c r="K39" s="413" t="s">
        <v>1741</v>
      </c>
      <c r="L39" s="414">
        <v>6</v>
      </c>
      <c r="M39" s="414"/>
      <c r="N39" s="414"/>
      <c r="O39" s="386">
        <f t="shared" si="0"/>
        <v>1</v>
      </c>
      <c r="P39" s="414">
        <v>1</v>
      </c>
      <c r="Q39" s="414">
        <v>1</v>
      </c>
      <c r="R39" s="414">
        <v>1</v>
      </c>
      <c r="S39" s="414">
        <v>1</v>
      </c>
      <c r="T39" s="414">
        <v>1</v>
      </c>
      <c r="U39" s="414"/>
      <c r="V39" s="414">
        <v>0</v>
      </c>
      <c r="W39" s="414">
        <v>0</v>
      </c>
      <c r="X39" s="414">
        <v>0</v>
      </c>
      <c r="Y39" s="414">
        <v>0</v>
      </c>
      <c r="Z39" s="414"/>
    </row>
    <row r="40" spans="1:26" s="413" customFormat="1" ht="11.25" customHeight="1" x14ac:dyDescent="0.25">
      <c r="B40" s="431">
        <v>37</v>
      </c>
      <c r="C40" s="437" t="s">
        <v>931</v>
      </c>
      <c r="D40" s="438" t="s">
        <v>345</v>
      </c>
      <c r="E40" s="431" t="s">
        <v>921</v>
      </c>
      <c r="F40" s="438" t="str">
        <f t="shared" si="1"/>
        <v xml:space="preserve">- - </v>
      </c>
      <c r="G40" s="439"/>
      <c r="H40" s="439"/>
      <c r="I40" s="440"/>
      <c r="J40" s="414"/>
      <c r="K40" s="413" t="s">
        <v>1742</v>
      </c>
      <c r="L40" s="414">
        <v>6</v>
      </c>
      <c r="M40" s="414"/>
      <c r="N40" s="414"/>
      <c r="O40" s="386">
        <f t="shared" si="0"/>
        <v>1</v>
      </c>
      <c r="P40" s="414">
        <v>0</v>
      </c>
      <c r="Q40" s="414">
        <v>1</v>
      </c>
      <c r="R40" s="414">
        <v>1</v>
      </c>
      <c r="S40" s="414">
        <v>1</v>
      </c>
      <c r="T40" s="414">
        <v>1</v>
      </c>
      <c r="U40" s="414"/>
      <c r="V40" s="414">
        <v>0</v>
      </c>
      <c r="W40" s="414">
        <v>0</v>
      </c>
      <c r="X40" s="414">
        <v>0</v>
      </c>
      <c r="Y40" s="414">
        <v>0</v>
      </c>
      <c r="Z40" s="414"/>
    </row>
    <row r="41" spans="1:26" s="413" customFormat="1" ht="11.25" customHeight="1" x14ac:dyDescent="0.25">
      <c r="B41" s="431">
        <v>38</v>
      </c>
      <c r="C41" s="437" t="s">
        <v>931</v>
      </c>
      <c r="D41" s="438" t="s">
        <v>459</v>
      </c>
      <c r="E41" s="431" t="s">
        <v>923</v>
      </c>
      <c r="F41" s="438" t="str">
        <f t="shared" si="1"/>
        <v xml:space="preserve">- - </v>
      </c>
      <c r="G41" s="439"/>
      <c r="H41" s="439"/>
      <c r="I41" s="440"/>
      <c r="J41" s="414"/>
      <c r="K41" s="413" t="s">
        <v>932</v>
      </c>
      <c r="L41" s="414">
        <v>6</v>
      </c>
      <c r="M41" s="414"/>
      <c r="N41" s="414"/>
      <c r="O41" s="386">
        <f t="shared" si="0"/>
        <v>1</v>
      </c>
      <c r="P41" s="414">
        <v>0</v>
      </c>
      <c r="Q41" s="414">
        <v>1</v>
      </c>
      <c r="R41" s="414">
        <v>1</v>
      </c>
      <c r="S41" s="414">
        <v>1</v>
      </c>
      <c r="T41" s="414">
        <v>1</v>
      </c>
      <c r="U41" s="414"/>
      <c r="V41" s="414">
        <v>0</v>
      </c>
      <c r="W41" s="414">
        <v>0</v>
      </c>
      <c r="X41" s="414">
        <v>0</v>
      </c>
      <c r="Y41" s="414">
        <v>0</v>
      </c>
      <c r="Z41" s="414"/>
    </row>
    <row r="42" spans="1:26" s="413" customFormat="1" ht="11.25" customHeight="1" x14ac:dyDescent="0.25">
      <c r="B42" s="431">
        <v>39</v>
      </c>
      <c r="C42" s="437" t="s">
        <v>931</v>
      </c>
      <c r="D42" s="438" t="s">
        <v>77</v>
      </c>
      <c r="E42" s="431" t="s">
        <v>925</v>
      </c>
      <c r="F42" s="438" t="str">
        <f t="shared" si="1"/>
        <v xml:space="preserve">- - </v>
      </c>
      <c r="G42" s="439"/>
      <c r="H42" s="439"/>
      <c r="I42" s="440"/>
      <c r="J42" s="414"/>
      <c r="K42" s="413" t="s">
        <v>933</v>
      </c>
      <c r="L42" s="414">
        <v>6</v>
      </c>
      <c r="M42" s="414"/>
      <c r="N42" s="414"/>
      <c r="O42" s="386">
        <f t="shared" si="0"/>
        <v>1</v>
      </c>
      <c r="P42" s="414">
        <v>0</v>
      </c>
      <c r="Q42" s="414">
        <v>1</v>
      </c>
      <c r="R42" s="414">
        <v>1</v>
      </c>
      <c r="S42" s="414">
        <v>1</v>
      </c>
      <c r="T42" s="414">
        <v>1</v>
      </c>
      <c r="U42" s="414"/>
      <c r="V42" s="414">
        <v>0</v>
      </c>
      <c r="W42" s="414">
        <v>0</v>
      </c>
      <c r="X42" s="414">
        <v>0</v>
      </c>
      <c r="Y42" s="414">
        <v>0</v>
      </c>
      <c r="Z42" s="414"/>
    </row>
    <row r="43" spans="1:26" s="413" customFormat="1" ht="11.25" customHeight="1" x14ac:dyDescent="0.25">
      <c r="B43" s="431">
        <v>40</v>
      </c>
      <c r="C43" s="437" t="s">
        <v>931</v>
      </c>
      <c r="D43" s="438" t="s">
        <v>346</v>
      </c>
      <c r="E43" s="431" t="s">
        <v>927</v>
      </c>
      <c r="F43" s="438" t="str">
        <f t="shared" si="1"/>
        <v xml:space="preserve">- - </v>
      </c>
      <c r="G43" s="439"/>
      <c r="H43" s="439"/>
      <c r="I43" s="440"/>
      <c r="J43" s="414"/>
      <c r="K43" s="413" t="s">
        <v>1743</v>
      </c>
      <c r="L43" s="414">
        <v>6</v>
      </c>
      <c r="M43" s="414"/>
      <c r="N43" s="414"/>
      <c r="O43" s="386">
        <f t="shared" si="0"/>
        <v>1</v>
      </c>
      <c r="P43" s="414">
        <v>0</v>
      </c>
      <c r="Q43" s="414">
        <v>1</v>
      </c>
      <c r="R43" s="414">
        <v>1</v>
      </c>
      <c r="S43" s="414">
        <v>1</v>
      </c>
      <c r="T43" s="414">
        <v>1</v>
      </c>
      <c r="U43" s="414"/>
      <c r="V43" s="414">
        <v>0</v>
      </c>
      <c r="W43" s="414">
        <v>0</v>
      </c>
      <c r="X43" s="414">
        <v>0</v>
      </c>
      <c r="Y43" s="414">
        <v>0</v>
      </c>
      <c r="Z43" s="414"/>
    </row>
    <row r="44" spans="1:26" s="413" customFormat="1" ht="11.25" customHeight="1" x14ac:dyDescent="0.25">
      <c r="B44" s="431">
        <v>41</v>
      </c>
      <c r="C44" s="437" t="s">
        <v>931</v>
      </c>
      <c r="D44" s="438" t="s">
        <v>16</v>
      </c>
      <c r="E44" s="431" t="s">
        <v>929</v>
      </c>
      <c r="F44" s="438" t="str">
        <f t="shared" si="1"/>
        <v xml:space="preserve">- - </v>
      </c>
      <c r="G44" s="439"/>
      <c r="H44" s="439"/>
      <c r="I44" s="440"/>
      <c r="J44" s="414"/>
      <c r="K44" s="413" t="s">
        <v>934</v>
      </c>
      <c r="L44" s="414">
        <v>6</v>
      </c>
      <c r="M44" s="414"/>
      <c r="N44" s="414"/>
      <c r="O44" s="386">
        <f t="shared" si="0"/>
        <v>1</v>
      </c>
      <c r="P44" s="414">
        <v>0</v>
      </c>
      <c r="Q44" s="414">
        <v>1</v>
      </c>
      <c r="R44" s="414">
        <v>1</v>
      </c>
      <c r="S44" s="414">
        <v>1</v>
      </c>
      <c r="T44" s="414">
        <v>1</v>
      </c>
      <c r="U44" s="414"/>
      <c r="V44" s="414">
        <v>0</v>
      </c>
      <c r="W44" s="414">
        <v>0</v>
      </c>
      <c r="X44" s="414">
        <v>0</v>
      </c>
      <c r="Y44" s="414">
        <v>0</v>
      </c>
      <c r="Z44" s="414"/>
    </row>
    <row r="45" spans="1:26" s="413" customFormat="1" ht="11.25" customHeight="1" x14ac:dyDescent="0.25">
      <c r="B45" s="431">
        <v>42</v>
      </c>
      <c r="C45" s="437" t="s">
        <v>935</v>
      </c>
      <c r="D45" s="438" t="s">
        <v>417</v>
      </c>
      <c r="E45" s="431" t="s">
        <v>930</v>
      </c>
      <c r="F45" s="438" t="str">
        <f t="shared" si="1"/>
        <v xml:space="preserve">- - </v>
      </c>
      <c r="G45" s="439"/>
      <c r="H45" s="439"/>
      <c r="I45" s="440"/>
      <c r="J45" s="414"/>
      <c r="K45" s="413" t="s">
        <v>936</v>
      </c>
      <c r="L45" s="414">
        <v>6</v>
      </c>
      <c r="M45" s="414"/>
      <c r="N45" s="414"/>
      <c r="O45" s="386">
        <f t="shared" si="0"/>
        <v>1</v>
      </c>
      <c r="P45" s="414">
        <v>0</v>
      </c>
      <c r="Q45" s="414">
        <v>1</v>
      </c>
      <c r="R45" s="414">
        <v>1</v>
      </c>
      <c r="S45" s="414">
        <v>1</v>
      </c>
      <c r="T45" s="414">
        <v>1</v>
      </c>
      <c r="U45" s="414"/>
      <c r="V45" s="414">
        <v>0</v>
      </c>
      <c r="W45" s="414">
        <v>0</v>
      </c>
      <c r="X45" s="414">
        <v>0</v>
      </c>
      <c r="Y45" s="414">
        <v>0</v>
      </c>
      <c r="Z45" s="414"/>
    </row>
    <row r="46" spans="1:26" s="413" customFormat="1" ht="11.25" customHeight="1" x14ac:dyDescent="0.25">
      <c r="B46" s="431">
        <v>43</v>
      </c>
      <c r="C46" s="437" t="s">
        <v>937</v>
      </c>
      <c r="D46" s="438" t="s">
        <v>511</v>
      </c>
      <c r="E46" s="431" t="s">
        <v>938</v>
      </c>
      <c r="F46" s="448" t="str">
        <f>'MT-ETUS'!M199&amp;" - "&amp;'MT-ETUS'!Q199</f>
        <v xml:space="preserve">Interno - </v>
      </c>
      <c r="G46" s="439"/>
      <c r="H46" s="439"/>
      <c r="I46" s="440"/>
      <c r="J46" s="414"/>
      <c r="K46" s="413" t="s">
        <v>939</v>
      </c>
      <c r="L46" s="414">
        <v>5</v>
      </c>
      <c r="M46" s="414"/>
      <c r="N46" s="414"/>
      <c r="O46" s="386">
        <f t="shared" si="0"/>
        <v>1</v>
      </c>
      <c r="P46" s="414">
        <v>0</v>
      </c>
      <c r="Q46" s="414">
        <v>0</v>
      </c>
      <c r="R46" s="414">
        <v>1</v>
      </c>
      <c r="S46" s="414">
        <v>1</v>
      </c>
      <c r="T46" s="414">
        <v>1</v>
      </c>
      <c r="U46" s="414"/>
      <c r="V46" s="414">
        <v>0</v>
      </c>
      <c r="W46" s="414">
        <v>0</v>
      </c>
      <c r="X46" s="414">
        <v>0</v>
      </c>
      <c r="Y46" s="414">
        <v>0</v>
      </c>
      <c r="Z46" s="414"/>
    </row>
    <row r="47" spans="1:26" s="420" customFormat="1" ht="11.25" customHeight="1" x14ac:dyDescent="0.25">
      <c r="B47" s="431">
        <v>44</v>
      </c>
      <c r="C47" s="432" t="s">
        <v>940</v>
      </c>
      <c r="D47" s="433" t="s">
        <v>124</v>
      </c>
      <c r="E47" s="431"/>
      <c r="F47" s="433"/>
      <c r="G47" s="435"/>
      <c r="H47" s="435"/>
      <c r="I47" s="436"/>
      <c r="J47" s="414"/>
      <c r="L47" s="414">
        <v>0</v>
      </c>
      <c r="M47" s="414"/>
      <c r="N47" s="428"/>
      <c r="O47" s="386" t="str">
        <f t="shared" si="0"/>
        <v>x</v>
      </c>
      <c r="P47" s="414" t="s">
        <v>2</v>
      </c>
      <c r="Q47" s="414" t="s">
        <v>2</v>
      </c>
      <c r="R47" s="414" t="s">
        <v>2</v>
      </c>
      <c r="S47" s="414" t="s">
        <v>2</v>
      </c>
      <c r="T47" s="414" t="s">
        <v>2</v>
      </c>
      <c r="U47" s="414"/>
      <c r="V47" s="414" t="s">
        <v>2</v>
      </c>
      <c r="W47" s="414" t="s">
        <v>2</v>
      </c>
      <c r="X47" s="414" t="s">
        <v>2</v>
      </c>
      <c r="Y47" s="414" t="s">
        <v>2</v>
      </c>
      <c r="Z47" s="414"/>
    </row>
    <row r="48" spans="1:26" s="420" customFormat="1" ht="11.25" customHeight="1" x14ac:dyDescent="0.25">
      <c r="A48" s="413"/>
      <c r="B48" s="431">
        <v>45</v>
      </c>
      <c r="C48" s="437" t="s">
        <v>941</v>
      </c>
      <c r="D48" s="438" t="s">
        <v>942</v>
      </c>
      <c r="E48" s="434" t="s">
        <v>238</v>
      </c>
      <c r="F48" s="433" t="s">
        <v>238</v>
      </c>
      <c r="G48" s="435"/>
      <c r="H48" s="435"/>
      <c r="I48" s="436"/>
      <c r="J48" s="414"/>
      <c r="L48" s="414">
        <v>0</v>
      </c>
      <c r="M48" s="414"/>
      <c r="N48" s="428"/>
      <c r="O48" s="386">
        <f t="shared" si="0"/>
        <v>1</v>
      </c>
      <c r="P48" s="414">
        <v>0</v>
      </c>
      <c r="Q48" s="414">
        <v>0</v>
      </c>
      <c r="R48" s="414">
        <v>0</v>
      </c>
      <c r="S48" s="414">
        <v>1</v>
      </c>
      <c r="T48" s="414">
        <v>1</v>
      </c>
      <c r="U48" s="414"/>
      <c r="V48" s="414">
        <v>0</v>
      </c>
      <c r="W48" s="414">
        <v>0</v>
      </c>
      <c r="X48" s="414">
        <v>0</v>
      </c>
      <c r="Y48" s="414">
        <v>0</v>
      </c>
      <c r="Z48" s="414"/>
    </row>
    <row r="49" spans="1:26" s="420" customFormat="1" ht="11.25" customHeight="1" x14ac:dyDescent="0.25">
      <c r="A49" s="413"/>
      <c r="B49" s="431">
        <v>46</v>
      </c>
      <c r="C49" s="437" t="s">
        <v>943</v>
      </c>
      <c r="D49" s="438" t="s">
        <v>944</v>
      </c>
      <c r="E49" s="431" t="s">
        <v>238</v>
      </c>
      <c r="F49" s="438" t="s">
        <v>238</v>
      </c>
      <c r="G49" s="435"/>
      <c r="H49" s="435"/>
      <c r="I49" s="436"/>
      <c r="J49" s="414"/>
      <c r="L49" s="414">
        <v>0</v>
      </c>
      <c r="M49" s="414"/>
      <c r="N49" s="428"/>
      <c r="O49" s="386">
        <f t="shared" si="0"/>
        <v>1</v>
      </c>
      <c r="P49" s="414">
        <v>0</v>
      </c>
      <c r="Q49" s="414">
        <v>0</v>
      </c>
      <c r="R49" s="414">
        <v>0</v>
      </c>
      <c r="S49" s="414">
        <v>1</v>
      </c>
      <c r="T49" s="414">
        <v>1</v>
      </c>
      <c r="U49" s="414"/>
      <c r="V49" s="414">
        <v>0</v>
      </c>
      <c r="W49" s="414">
        <v>0</v>
      </c>
      <c r="X49" s="414">
        <v>0</v>
      </c>
      <c r="Y49" s="414">
        <v>0</v>
      </c>
      <c r="Z49" s="414"/>
    </row>
    <row r="50" spans="1:26" s="420" customFormat="1" ht="11.25" customHeight="1" x14ac:dyDescent="0.25">
      <c r="A50" s="413"/>
      <c r="B50" s="431">
        <v>47</v>
      </c>
      <c r="C50" s="437" t="s">
        <v>945</v>
      </c>
      <c r="D50" s="438" t="s">
        <v>516</v>
      </c>
      <c r="E50" s="431" t="s">
        <v>946</v>
      </c>
      <c r="F50" s="448" t="str">
        <f>'MT-ETUS'!M98&amp;" y "&amp;'MT-ETUS'!Q98</f>
        <v xml:space="preserve">- y </v>
      </c>
      <c r="G50" s="439"/>
      <c r="H50" s="439"/>
      <c r="I50" s="440"/>
      <c r="J50" s="414"/>
      <c r="L50" s="414">
        <v>5</v>
      </c>
      <c r="M50" s="414"/>
      <c r="N50" s="428"/>
      <c r="O50" s="386">
        <f t="shared" si="0"/>
        <v>1</v>
      </c>
      <c r="P50" s="414">
        <v>0</v>
      </c>
      <c r="Q50" s="414">
        <v>0</v>
      </c>
      <c r="R50" s="414">
        <v>1</v>
      </c>
      <c r="S50" s="414">
        <v>1</v>
      </c>
      <c r="T50" s="414">
        <v>1</v>
      </c>
      <c r="U50" s="414"/>
      <c r="V50" s="414">
        <v>0</v>
      </c>
      <c r="W50" s="414">
        <v>0</v>
      </c>
      <c r="X50" s="414">
        <v>0</v>
      </c>
      <c r="Y50" s="414">
        <v>0</v>
      </c>
      <c r="Z50" s="414"/>
    </row>
    <row r="51" spans="1:26" s="420" customFormat="1" ht="11.25" customHeight="1" x14ac:dyDescent="0.25">
      <c r="A51" s="413"/>
      <c r="B51" s="431">
        <v>48</v>
      </c>
      <c r="C51" s="437" t="s">
        <v>945</v>
      </c>
      <c r="D51" s="438" t="s">
        <v>348</v>
      </c>
      <c r="E51" s="431" t="s">
        <v>947</v>
      </c>
      <c r="F51" s="448">
        <f>'MT-ETUS'!M99</f>
        <v>0</v>
      </c>
      <c r="G51" s="439"/>
      <c r="H51" s="439"/>
      <c r="I51" s="440"/>
      <c r="J51" s="414"/>
      <c r="L51" s="414">
        <v>5</v>
      </c>
      <c r="M51" s="414"/>
      <c r="N51" s="428"/>
      <c r="O51" s="386">
        <f t="shared" si="0"/>
        <v>1</v>
      </c>
      <c r="P51" s="414">
        <v>0</v>
      </c>
      <c r="Q51" s="414">
        <v>0</v>
      </c>
      <c r="R51" s="414">
        <v>1</v>
      </c>
      <c r="S51" s="414">
        <v>1</v>
      </c>
      <c r="T51" s="414">
        <v>1</v>
      </c>
      <c r="U51" s="414"/>
      <c r="V51" s="414">
        <v>0</v>
      </c>
      <c r="W51" s="414">
        <v>0</v>
      </c>
      <c r="X51" s="414">
        <v>0</v>
      </c>
      <c r="Y51" s="414">
        <v>0</v>
      </c>
      <c r="Z51" s="414"/>
    </row>
    <row r="52" spans="1:26" s="420" customFormat="1" ht="11.25" customHeight="1" x14ac:dyDescent="0.25">
      <c r="A52" s="413"/>
      <c r="B52" s="431">
        <v>49</v>
      </c>
      <c r="C52" s="437" t="s">
        <v>948</v>
      </c>
      <c r="D52" s="438" t="s">
        <v>949</v>
      </c>
      <c r="E52" s="431" t="s">
        <v>950</v>
      </c>
      <c r="F52" s="448">
        <f>'MT-ETUS'!M100</f>
        <v>0</v>
      </c>
      <c r="G52" s="439"/>
      <c r="H52" s="439"/>
      <c r="I52" s="440"/>
      <c r="J52" s="414"/>
      <c r="L52" s="414">
        <v>5</v>
      </c>
      <c r="M52" s="414"/>
      <c r="N52" s="428"/>
      <c r="O52" s="386">
        <f t="shared" si="0"/>
        <v>1</v>
      </c>
      <c r="P52" s="414">
        <v>0</v>
      </c>
      <c r="Q52" s="414">
        <v>0</v>
      </c>
      <c r="R52" s="414">
        <v>1</v>
      </c>
      <c r="S52" s="414">
        <v>1</v>
      </c>
      <c r="T52" s="414">
        <v>1</v>
      </c>
      <c r="U52" s="414"/>
      <c r="V52" s="414">
        <v>0</v>
      </c>
      <c r="W52" s="414">
        <v>1</v>
      </c>
      <c r="X52" s="414">
        <v>1</v>
      </c>
      <c r="Y52" s="414">
        <v>1</v>
      </c>
      <c r="Z52" s="414"/>
    </row>
    <row r="53" spans="1:26" s="413" customFormat="1" ht="11.25" customHeight="1" x14ac:dyDescent="0.25">
      <c r="B53" s="431">
        <v>50</v>
      </c>
      <c r="C53" s="437" t="s">
        <v>951</v>
      </c>
      <c r="D53" s="438" t="s">
        <v>1757</v>
      </c>
      <c r="E53" s="431" t="s">
        <v>952</v>
      </c>
      <c r="F53" s="437" t="str">
        <f>"EST  :  "&amp;'MT-ETUS'!M102&amp;"  -  VAP :  "&amp;'MT-ETUS'!O102&amp;"  -  RES :  "&amp;'MT-ETUS'!Q102</f>
        <v xml:space="preserve">EST  :    -  VAP :    -  RES :  </v>
      </c>
      <c r="G53" s="439"/>
      <c r="H53" s="439"/>
      <c r="I53" s="440"/>
      <c r="J53" s="414"/>
      <c r="K53" s="413" t="s">
        <v>1759</v>
      </c>
      <c r="L53" s="414">
        <v>5</v>
      </c>
      <c r="M53" s="414"/>
      <c r="N53" s="414"/>
      <c r="O53" s="386">
        <f t="shared" si="0"/>
        <v>1</v>
      </c>
      <c r="P53" s="414">
        <v>0</v>
      </c>
      <c r="Q53" s="414">
        <v>0</v>
      </c>
      <c r="R53" s="414">
        <v>1</v>
      </c>
      <c r="S53" s="414">
        <v>1</v>
      </c>
      <c r="T53" s="414">
        <v>1</v>
      </c>
      <c r="U53" s="414"/>
      <c r="V53" s="414">
        <v>0</v>
      </c>
      <c r="W53" s="414">
        <v>0</v>
      </c>
      <c r="X53" s="414">
        <v>0</v>
      </c>
      <c r="Y53" s="414">
        <v>0</v>
      </c>
      <c r="Z53" s="414"/>
    </row>
    <row r="54" spans="1:26" s="413" customFormat="1" ht="11.25" customHeight="1" x14ac:dyDescent="0.25">
      <c r="B54" s="431">
        <v>51</v>
      </c>
      <c r="C54" s="437" t="s">
        <v>954</v>
      </c>
      <c r="D54" s="438" t="s">
        <v>1758</v>
      </c>
      <c r="E54" s="431" t="s">
        <v>952</v>
      </c>
      <c r="F54" s="437" t="str">
        <f>"SEC  :  "&amp;'MT-ETUS'!S102&amp;"  -  CON :  "&amp;'MT-ETUS'!U102&amp;"  -  DISyREC :  "&amp;'MT-ETUS'!W102</f>
        <v xml:space="preserve">SEC  :    -  CON :    -  DISyREC :  </v>
      </c>
      <c r="G54" s="439"/>
      <c r="H54" s="439"/>
      <c r="I54" s="440"/>
      <c r="J54" s="414"/>
      <c r="K54" s="413" t="s">
        <v>1759</v>
      </c>
      <c r="L54" s="414">
        <v>5</v>
      </c>
      <c r="M54" s="414"/>
      <c r="N54" s="414"/>
      <c r="O54" s="386">
        <f t="shared" si="0"/>
        <v>1</v>
      </c>
      <c r="P54" s="414">
        <v>0</v>
      </c>
      <c r="Q54" s="414">
        <v>0</v>
      </c>
      <c r="R54" s="414">
        <v>1</v>
      </c>
      <c r="S54" s="414">
        <v>1</v>
      </c>
      <c r="T54" s="414">
        <v>1</v>
      </c>
      <c r="U54" s="414"/>
      <c r="V54" s="414">
        <v>0</v>
      </c>
      <c r="W54" s="414">
        <v>0</v>
      </c>
      <c r="X54" s="414">
        <v>0</v>
      </c>
      <c r="Y54" s="414">
        <v>0</v>
      </c>
      <c r="Z54" s="414"/>
    </row>
    <row r="55" spans="1:26" s="413" customFormat="1" ht="11.25" customHeight="1" x14ac:dyDescent="0.25">
      <c r="B55" s="431">
        <v>52</v>
      </c>
      <c r="C55" s="437" t="s">
        <v>955</v>
      </c>
      <c r="D55" s="438" t="s">
        <v>1760</v>
      </c>
      <c r="E55" s="431" t="s">
        <v>952</v>
      </c>
      <c r="F55" s="438"/>
      <c r="G55" s="439"/>
      <c r="H55" s="439"/>
      <c r="I55" s="440"/>
      <c r="J55" s="414"/>
      <c r="K55" s="413" t="s">
        <v>956</v>
      </c>
      <c r="L55" s="414">
        <v>5</v>
      </c>
      <c r="M55" s="414"/>
      <c r="N55" s="414"/>
      <c r="O55" s="386">
        <f t="shared" si="0"/>
        <v>1</v>
      </c>
      <c r="P55" s="414">
        <v>0</v>
      </c>
      <c r="Q55" s="414">
        <v>0</v>
      </c>
      <c r="R55" s="414">
        <v>1</v>
      </c>
      <c r="S55" s="414">
        <v>1</v>
      </c>
      <c r="T55" s="414">
        <v>1</v>
      </c>
      <c r="U55" s="414"/>
      <c r="V55" s="414">
        <v>0</v>
      </c>
      <c r="W55" s="414">
        <v>0</v>
      </c>
      <c r="X55" s="414">
        <v>0</v>
      </c>
      <c r="Y55" s="414">
        <v>0</v>
      </c>
      <c r="Z55" s="414"/>
    </row>
    <row r="56" spans="1:26" s="413" customFormat="1" ht="11.25" customHeight="1" x14ac:dyDescent="0.25">
      <c r="B56" s="431">
        <v>53</v>
      </c>
      <c r="C56" s="437" t="s">
        <v>957</v>
      </c>
      <c r="D56" s="438" t="s">
        <v>129</v>
      </c>
      <c r="E56" s="431" t="s">
        <v>958</v>
      </c>
      <c r="F56" s="438" t="str">
        <f>"Mín ext: "&amp;'MT-ETUS'!H104&amp;"ºC  -  Mín int: 10ºC"</f>
        <v>Mín ext: ºC  -  Mín int: 10ºC</v>
      </c>
      <c r="G56" s="439"/>
      <c r="H56" s="439"/>
      <c r="I56" s="440"/>
      <c r="J56" s="414"/>
      <c r="L56" s="414">
        <v>5</v>
      </c>
      <c r="M56" s="414"/>
      <c r="N56" s="414"/>
      <c r="O56" s="386">
        <f t="shared" si="0"/>
        <v>1</v>
      </c>
      <c r="P56" s="414">
        <v>0</v>
      </c>
      <c r="Q56" s="414">
        <v>0</v>
      </c>
      <c r="R56" s="414">
        <v>1</v>
      </c>
      <c r="S56" s="414">
        <v>1</v>
      </c>
      <c r="T56" s="414">
        <v>1</v>
      </c>
      <c r="U56" s="414"/>
      <c r="V56" s="414">
        <v>0</v>
      </c>
      <c r="W56" s="414">
        <v>0</v>
      </c>
      <c r="X56" s="414">
        <v>0</v>
      </c>
      <c r="Y56" s="414">
        <v>0</v>
      </c>
      <c r="Z56" s="414"/>
    </row>
    <row r="57" spans="1:26" s="413" customFormat="1" ht="11.25" customHeight="1" x14ac:dyDescent="0.25">
      <c r="B57" s="431">
        <v>54</v>
      </c>
      <c r="C57" s="437" t="s">
        <v>959</v>
      </c>
      <c r="D57" s="438" t="s">
        <v>1761</v>
      </c>
      <c r="E57" s="431" t="s">
        <v>958</v>
      </c>
      <c r="F57" s="437" t="str">
        <f>"PRI : "&amp;'MT-ETUS'!M104&amp;" - SEC : "&amp;'MT-ETUS'!Q104&amp;" -  CON :"&amp;'MT-ETUS'!U104</f>
        <v>PRI :  - SEC :  -  CON :</v>
      </c>
      <c r="G57" s="439"/>
      <c r="H57" s="439"/>
      <c r="I57" s="440"/>
      <c r="J57" s="414"/>
      <c r="K57" s="413" t="s">
        <v>953</v>
      </c>
      <c r="L57" s="414">
        <v>5</v>
      </c>
      <c r="M57" s="414"/>
      <c r="N57" s="414"/>
      <c r="O57" s="386">
        <f t="shared" si="0"/>
        <v>1</v>
      </c>
      <c r="P57" s="414">
        <v>0</v>
      </c>
      <c r="Q57" s="414">
        <v>0</v>
      </c>
      <c r="R57" s="414">
        <v>1</v>
      </c>
      <c r="S57" s="414">
        <v>1</v>
      </c>
      <c r="T57" s="414">
        <v>1</v>
      </c>
      <c r="U57" s="414"/>
      <c r="V57" s="414">
        <v>0</v>
      </c>
      <c r="W57" s="414">
        <v>0</v>
      </c>
      <c r="X57" s="414">
        <v>0</v>
      </c>
      <c r="Y57" s="414">
        <v>0</v>
      </c>
      <c r="Z57" s="414"/>
    </row>
    <row r="58" spans="1:26" s="413" customFormat="1" ht="11.25" customHeight="1" x14ac:dyDescent="0.25">
      <c r="B58" s="431">
        <v>55</v>
      </c>
      <c r="C58" s="437" t="s">
        <v>960</v>
      </c>
      <c r="D58" s="438" t="s">
        <v>1762</v>
      </c>
      <c r="E58" s="431" t="s">
        <v>958</v>
      </c>
      <c r="F58" s="437" t="str">
        <f>"PRI  :  "&amp;'MT-ETUS'!O104&amp;" - SEC :  "&amp;'MT-ETUS'!S104&amp;" -  CON :  "&amp;'MT-ETUS'!W104</f>
        <v xml:space="preserve">PRI  :   - SEC :   -  CON :  </v>
      </c>
      <c r="G58" s="439"/>
      <c r="H58" s="439"/>
      <c r="I58" s="440"/>
      <c r="J58" s="414"/>
      <c r="K58" s="413" t="s">
        <v>1763</v>
      </c>
      <c r="L58" s="414">
        <v>5</v>
      </c>
      <c r="M58" s="414"/>
      <c r="N58" s="414"/>
      <c r="O58" s="386">
        <f t="shared" si="0"/>
        <v>1</v>
      </c>
      <c r="P58" s="414">
        <v>0</v>
      </c>
      <c r="Q58" s="414">
        <v>0</v>
      </c>
      <c r="R58" s="414">
        <v>1</v>
      </c>
      <c r="S58" s="414">
        <v>1</v>
      </c>
      <c r="T58" s="414">
        <v>1</v>
      </c>
      <c r="U58" s="414"/>
      <c r="V58" s="414">
        <v>0</v>
      </c>
      <c r="W58" s="414">
        <v>0</v>
      </c>
      <c r="X58" s="414">
        <v>0</v>
      </c>
      <c r="Y58" s="414">
        <v>0</v>
      </c>
      <c r="Z58" s="414"/>
    </row>
    <row r="59" spans="1:26" s="413" customFormat="1" ht="11.25" customHeight="1" x14ac:dyDescent="0.25">
      <c r="B59" s="431">
        <v>56</v>
      </c>
      <c r="C59" s="437" t="s">
        <v>961</v>
      </c>
      <c r="D59" s="438" t="s">
        <v>1767</v>
      </c>
      <c r="E59" s="431"/>
      <c r="F59" s="438" t="s">
        <v>962</v>
      </c>
      <c r="G59" s="439"/>
      <c r="H59" s="439"/>
      <c r="I59" s="440"/>
      <c r="J59" s="414"/>
      <c r="K59" s="413" t="s">
        <v>1764</v>
      </c>
      <c r="L59" s="414">
        <v>5</v>
      </c>
      <c r="M59" s="414"/>
      <c r="N59" s="414"/>
      <c r="O59" s="386">
        <f t="shared" si="0"/>
        <v>1</v>
      </c>
      <c r="P59" s="414">
        <v>0</v>
      </c>
      <c r="Q59" s="414">
        <v>0</v>
      </c>
      <c r="R59" s="414">
        <v>0</v>
      </c>
      <c r="S59" s="414">
        <v>1</v>
      </c>
      <c r="T59" s="414">
        <v>1</v>
      </c>
      <c r="U59" s="414"/>
      <c r="V59" s="414">
        <v>0</v>
      </c>
      <c r="W59" s="414">
        <v>0</v>
      </c>
      <c r="X59" s="414">
        <v>0</v>
      </c>
      <c r="Y59" s="414">
        <v>0</v>
      </c>
      <c r="Z59" s="414"/>
    </row>
    <row r="60" spans="1:26" s="413" customFormat="1" ht="11.25" customHeight="1" x14ac:dyDescent="0.25">
      <c r="B60" s="431">
        <v>57</v>
      </c>
      <c r="C60" s="437" t="s">
        <v>961</v>
      </c>
      <c r="D60" s="438" t="s">
        <v>1766</v>
      </c>
      <c r="E60" s="431" t="s">
        <v>963</v>
      </c>
      <c r="F60" s="448" t="str">
        <f>"PRI : "&amp;'MT-ETUS'!M107&amp;"  -  SEC : "&amp;'MT-ETUS'!Q107</f>
        <v>PRI : -  -  SEC : -</v>
      </c>
      <c r="G60" s="439"/>
      <c r="H60" s="439"/>
      <c r="I60" s="440"/>
      <c r="J60" s="414"/>
      <c r="K60" s="413" t="s">
        <v>1765</v>
      </c>
      <c r="L60" s="414">
        <v>5</v>
      </c>
      <c r="M60" s="414"/>
      <c r="N60" s="414"/>
      <c r="O60" s="386">
        <f t="shared" si="0"/>
        <v>1</v>
      </c>
      <c r="P60" s="414">
        <v>0</v>
      </c>
      <c r="Q60" s="414">
        <v>0</v>
      </c>
      <c r="R60" s="414">
        <v>0</v>
      </c>
      <c r="S60" s="414">
        <v>1</v>
      </c>
      <c r="T60" s="414">
        <v>1</v>
      </c>
      <c r="U60" s="414"/>
      <c r="V60" s="414">
        <v>0</v>
      </c>
      <c r="W60" s="414">
        <v>0</v>
      </c>
      <c r="X60" s="414">
        <v>0</v>
      </c>
      <c r="Y60" s="414">
        <v>0</v>
      </c>
      <c r="Z60" s="414"/>
    </row>
    <row r="61" spans="1:26" s="413" customFormat="1" ht="11.25" customHeight="1" x14ac:dyDescent="0.25">
      <c r="B61" s="431">
        <v>58</v>
      </c>
      <c r="C61" s="437" t="s">
        <v>964</v>
      </c>
      <c r="D61" s="437" t="s">
        <v>1768</v>
      </c>
      <c r="E61" s="431" t="s">
        <v>965</v>
      </c>
      <c r="F61" s="437" t="str">
        <f>"PRI : "&amp;'MT-ETUS'!M108&amp;"  -  SEC : "&amp;'MT-ETUS'!Q108&amp;"  -  CON : "&amp;'MT-ETUS'!U108</f>
        <v xml:space="preserve">PRI :   -  SEC :   -  CON : </v>
      </c>
      <c r="G61" s="439"/>
      <c r="H61" s="439"/>
      <c r="I61" s="440"/>
      <c r="J61" s="414"/>
      <c r="L61" s="414">
        <v>5</v>
      </c>
      <c r="M61" s="414"/>
      <c r="N61" s="414"/>
      <c r="O61" s="386">
        <f t="shared" si="0"/>
        <v>1</v>
      </c>
      <c r="P61" s="414">
        <v>0</v>
      </c>
      <c r="Q61" s="414">
        <v>0</v>
      </c>
      <c r="R61" s="414">
        <v>0</v>
      </c>
      <c r="S61" s="414">
        <v>1</v>
      </c>
      <c r="T61" s="414">
        <v>1</v>
      </c>
      <c r="U61" s="414"/>
      <c r="V61" s="414">
        <v>0</v>
      </c>
      <c r="W61" s="414">
        <v>0</v>
      </c>
      <c r="X61" s="414">
        <v>0</v>
      </c>
      <c r="Y61" s="414">
        <v>0</v>
      </c>
      <c r="Z61" s="414"/>
    </row>
    <row r="62" spans="1:26" s="413" customFormat="1" ht="11.25" customHeight="1" x14ac:dyDescent="0.25">
      <c r="B62" s="431">
        <v>59</v>
      </c>
      <c r="C62" s="437" t="s">
        <v>964</v>
      </c>
      <c r="D62" s="437" t="s">
        <v>1769</v>
      </c>
      <c r="E62" s="431" t="s">
        <v>965</v>
      </c>
      <c r="F62" s="437" t="str">
        <f>"PRI : "&amp;'MT-ETUS'!O108&amp;"  -  SEC : "&amp;'MT-ETUS'!S108&amp;"  -  CON : "&amp;'MT-ETUS'!W108</f>
        <v xml:space="preserve">PRI :   -  SEC :   -  CON : </v>
      </c>
      <c r="G62" s="439"/>
      <c r="H62" s="439"/>
      <c r="I62" s="440"/>
      <c r="J62" s="414"/>
      <c r="L62" s="414">
        <v>5</v>
      </c>
      <c r="M62" s="414"/>
      <c r="N62" s="414"/>
      <c r="O62" s="386">
        <f t="shared" si="0"/>
        <v>1</v>
      </c>
      <c r="P62" s="414">
        <v>0</v>
      </c>
      <c r="Q62" s="414">
        <v>0</v>
      </c>
      <c r="R62" s="414">
        <v>0</v>
      </c>
      <c r="S62" s="414">
        <v>1</v>
      </c>
      <c r="T62" s="414">
        <v>1</v>
      </c>
      <c r="U62" s="414"/>
      <c r="V62" s="414">
        <v>0</v>
      </c>
      <c r="W62" s="414">
        <v>0</v>
      </c>
      <c r="X62" s="414">
        <v>0</v>
      </c>
      <c r="Y62" s="414">
        <v>0</v>
      </c>
      <c r="Z62" s="414"/>
    </row>
    <row r="63" spans="1:26" s="413" customFormat="1" ht="11.25" customHeight="1" x14ac:dyDescent="0.25">
      <c r="B63" s="431">
        <v>60</v>
      </c>
      <c r="C63" s="437" t="s">
        <v>966</v>
      </c>
      <c r="D63" s="438" t="s">
        <v>1771</v>
      </c>
      <c r="E63" s="431" t="s">
        <v>967</v>
      </c>
      <c r="F63" s="437" t="str">
        <f>"PRI : "&amp;'MT-ETUS'!M109&amp;"  -  SEC : "&amp;'MT-ETUS'!Q109&amp;"  -  CON : "&amp;'MT-ETUS'!U109</f>
        <v xml:space="preserve">PRI :   -  SEC :   -  CON : </v>
      </c>
      <c r="G63" s="439"/>
      <c r="H63" s="439"/>
      <c r="I63" s="440"/>
      <c r="J63" s="414"/>
      <c r="K63" s="413" t="s">
        <v>953</v>
      </c>
      <c r="L63" s="414">
        <v>5</v>
      </c>
      <c r="M63" s="414"/>
      <c r="N63" s="414">
        <v>1</v>
      </c>
      <c r="O63" s="386">
        <f t="shared" si="0"/>
        <v>1</v>
      </c>
      <c r="P63" s="414">
        <v>0</v>
      </c>
      <c r="Q63" s="414">
        <v>0</v>
      </c>
      <c r="R63" s="414">
        <v>1</v>
      </c>
      <c r="S63" s="414">
        <v>1</v>
      </c>
      <c r="T63" s="414">
        <v>1</v>
      </c>
      <c r="U63" s="414"/>
      <c r="V63" s="414">
        <v>0</v>
      </c>
      <c r="W63" s="414">
        <v>0</v>
      </c>
      <c r="X63" s="414">
        <v>0</v>
      </c>
      <c r="Y63" s="414">
        <v>0</v>
      </c>
      <c r="Z63" s="414"/>
    </row>
    <row r="64" spans="1:26" s="413" customFormat="1" ht="11.25" customHeight="1" x14ac:dyDescent="0.25">
      <c r="B64" s="431">
        <v>61</v>
      </c>
      <c r="C64" s="437" t="s">
        <v>966</v>
      </c>
      <c r="D64" s="438" t="s">
        <v>1770</v>
      </c>
      <c r="E64" s="431" t="s">
        <v>967</v>
      </c>
      <c r="F64" s="437" t="str">
        <f>"PRI : "&amp;'MT-ETUS'!O109&amp;"  -  SEC : "&amp;'MT-ETUS'!S109&amp;"  -  CON : "&amp;'MT-ETUS'!W109</f>
        <v xml:space="preserve">PRI :   -  SEC :   -  CON : </v>
      </c>
      <c r="G64" s="439"/>
      <c r="H64" s="439"/>
      <c r="I64" s="440"/>
      <c r="J64" s="414"/>
      <c r="L64" s="414">
        <v>5</v>
      </c>
      <c r="M64" s="414"/>
      <c r="N64" s="414">
        <v>1</v>
      </c>
      <c r="O64" s="386">
        <f t="shared" si="0"/>
        <v>1</v>
      </c>
      <c r="P64" s="414">
        <v>0</v>
      </c>
      <c r="Q64" s="414">
        <v>0</v>
      </c>
      <c r="R64" s="414">
        <v>1</v>
      </c>
      <c r="S64" s="414">
        <v>1</v>
      </c>
      <c r="T64" s="414">
        <v>1</v>
      </c>
      <c r="U64" s="414"/>
      <c r="V64" s="414">
        <v>0</v>
      </c>
      <c r="W64" s="414">
        <v>0</v>
      </c>
      <c r="X64" s="414">
        <v>0</v>
      </c>
      <c r="Y64" s="414">
        <v>0</v>
      </c>
      <c r="Z64" s="414"/>
    </row>
    <row r="65" spans="2:26" s="413" customFormat="1" ht="11.25" customHeight="1" x14ac:dyDescent="0.25">
      <c r="B65" s="431">
        <v>62</v>
      </c>
      <c r="C65" s="437" t="s">
        <v>968</v>
      </c>
      <c r="D65" s="438" t="s">
        <v>1772</v>
      </c>
      <c r="E65" s="431" t="s">
        <v>969</v>
      </c>
      <c r="F65" s="448" t="str">
        <f>"PRI : "&amp;'MT-ETUS'!O105&amp;"  -  SEC : "&amp;'MT-ETUS'!S105&amp;"  -  CON : "&amp;'MT-ETUS'!W105</f>
        <v xml:space="preserve">PRI :   -  SEC :   -  CON : </v>
      </c>
      <c r="G65" s="439"/>
      <c r="H65" s="439"/>
      <c r="I65" s="440"/>
      <c r="J65" s="414"/>
      <c r="K65" s="413" t="s">
        <v>1775</v>
      </c>
      <c r="L65" s="414">
        <v>5</v>
      </c>
      <c r="M65" s="414"/>
      <c r="N65" s="414"/>
      <c r="O65" s="386">
        <f t="shared" si="0"/>
        <v>1</v>
      </c>
      <c r="P65" s="414">
        <v>0</v>
      </c>
      <c r="Q65" s="414">
        <v>0</v>
      </c>
      <c r="R65" s="414">
        <v>1</v>
      </c>
      <c r="S65" s="414">
        <v>1</v>
      </c>
      <c r="T65" s="414">
        <v>1</v>
      </c>
      <c r="U65" s="414"/>
      <c r="V65" s="414">
        <v>0</v>
      </c>
      <c r="W65" s="414">
        <v>0</v>
      </c>
      <c r="X65" s="414">
        <v>0</v>
      </c>
      <c r="Y65" s="414">
        <v>0</v>
      </c>
      <c r="Z65" s="414"/>
    </row>
    <row r="66" spans="2:26" s="413" customFormat="1" ht="11.25" customHeight="1" x14ac:dyDescent="0.25">
      <c r="B66" s="431">
        <v>63</v>
      </c>
      <c r="C66" s="437" t="s">
        <v>970</v>
      </c>
      <c r="D66" s="438" t="s">
        <v>1773</v>
      </c>
      <c r="E66" s="431" t="s">
        <v>971</v>
      </c>
      <c r="F66" s="437" t="str">
        <f>"PRI : "&amp;'MT-ETUS'!M112&amp;"  -  SEC : "&amp;'MT-ETUS'!Q112&amp;"  -  CON : "&amp;'MT-ETUS'!U112</f>
        <v xml:space="preserve">PRI :   -  SEC :   -  CON : </v>
      </c>
      <c r="G66" s="439"/>
      <c r="H66" s="439"/>
      <c r="I66" s="440"/>
      <c r="J66" s="414"/>
      <c r="K66" s="413" t="s">
        <v>953</v>
      </c>
      <c r="L66" s="414">
        <v>5</v>
      </c>
      <c r="M66" s="414"/>
      <c r="N66" s="414"/>
      <c r="O66" s="386">
        <f t="shared" si="0"/>
        <v>1</v>
      </c>
      <c r="P66" s="414">
        <v>0</v>
      </c>
      <c r="Q66" s="414">
        <v>0</v>
      </c>
      <c r="R66" s="414">
        <v>1</v>
      </c>
      <c r="S66" s="414">
        <v>1</v>
      </c>
      <c r="T66" s="414">
        <v>1</v>
      </c>
      <c r="U66" s="414"/>
      <c r="V66" s="414">
        <v>0</v>
      </c>
      <c r="W66" s="414">
        <v>0</v>
      </c>
      <c r="X66" s="414">
        <v>0</v>
      </c>
      <c r="Y66" s="414">
        <v>0</v>
      </c>
      <c r="Z66" s="414"/>
    </row>
    <row r="67" spans="2:26" s="413" customFormat="1" ht="11.25" customHeight="1" x14ac:dyDescent="0.25">
      <c r="B67" s="431">
        <v>64</v>
      </c>
      <c r="C67" s="437" t="s">
        <v>970</v>
      </c>
      <c r="D67" s="438" t="s">
        <v>1774</v>
      </c>
      <c r="E67" s="431" t="s">
        <v>971</v>
      </c>
      <c r="F67" s="437" t="str">
        <f>"PRI : "&amp;'MT-ETUS'!O112&amp;"  -  SEC : "&amp;'MT-ETUS'!S112&amp;"  -  CON : "&amp;'MT-ETUS'!W112</f>
        <v xml:space="preserve">PRI :   -  SEC :   -  CON : </v>
      </c>
      <c r="G67" s="439"/>
      <c r="H67" s="439"/>
      <c r="I67" s="440"/>
      <c r="J67" s="414"/>
      <c r="K67" s="413" t="s">
        <v>953</v>
      </c>
      <c r="L67" s="414">
        <v>5</v>
      </c>
      <c r="M67" s="414"/>
      <c r="N67" s="414"/>
      <c r="O67" s="386">
        <f t="shared" si="0"/>
        <v>1</v>
      </c>
      <c r="P67" s="414">
        <v>0</v>
      </c>
      <c r="Q67" s="414">
        <v>0</v>
      </c>
      <c r="R67" s="414">
        <v>1</v>
      </c>
      <c r="S67" s="414">
        <v>1</v>
      </c>
      <c r="T67" s="414">
        <v>1</v>
      </c>
      <c r="U67" s="414"/>
      <c r="V67" s="414">
        <v>0</v>
      </c>
      <c r="W67" s="414">
        <v>0</v>
      </c>
      <c r="X67" s="414">
        <v>0</v>
      </c>
      <c r="Y67" s="414">
        <v>0</v>
      </c>
      <c r="Z67" s="414"/>
    </row>
    <row r="68" spans="2:26" s="413" customFormat="1" ht="11.25" customHeight="1" x14ac:dyDescent="0.25">
      <c r="B68" s="431">
        <v>65</v>
      </c>
      <c r="C68" s="437" t="s">
        <v>972</v>
      </c>
      <c r="D68" s="438" t="s">
        <v>973</v>
      </c>
      <c r="E68" s="431" t="s">
        <v>974</v>
      </c>
      <c r="F68" s="437" t="str">
        <f>"PRI : "&amp;'MT-ETUS'!M283&amp;" y "&amp;'MT-ETUS'!M284&amp;"  SEC : "&amp;'MT-ETUS'!R283&amp;"  y "&amp;'MT-ETUS'!R284</f>
        <v xml:space="preserve">PRI :  y   SEC :   y </v>
      </c>
      <c r="G68" s="439"/>
      <c r="H68" s="439"/>
      <c r="I68" s="440"/>
      <c r="J68" s="414"/>
      <c r="K68" s="413" t="s">
        <v>975</v>
      </c>
      <c r="L68" s="414">
        <v>5</v>
      </c>
      <c r="M68" s="414"/>
      <c r="N68" s="414"/>
      <c r="O68" s="386">
        <f t="shared" ref="O68:O131" si="2">IF(O$3=0,0,IF(O$3=1,P68,IF(O$3=2,Q68,IF(O$3=3,R68,IF(O$3=4,S68,IF(O$3=5,T68,IF(O$3=6,V68,IF(O$3=7,W68,IF(O$3=8,X68,IF(O$3=9,Y68,0))))))))))</f>
        <v>1</v>
      </c>
      <c r="P68" s="414">
        <v>0</v>
      </c>
      <c r="Q68" s="414">
        <v>0</v>
      </c>
      <c r="R68" s="414">
        <v>1</v>
      </c>
      <c r="S68" s="414">
        <v>1</v>
      </c>
      <c r="T68" s="414">
        <v>1</v>
      </c>
      <c r="U68" s="414"/>
      <c r="V68" s="414">
        <v>0</v>
      </c>
      <c r="W68" s="414">
        <v>0</v>
      </c>
      <c r="X68" s="414">
        <v>0</v>
      </c>
      <c r="Y68" s="414">
        <v>0</v>
      </c>
      <c r="Z68" s="414"/>
    </row>
    <row r="69" spans="2:26" s="413" customFormat="1" ht="11.25" customHeight="1" x14ac:dyDescent="0.25">
      <c r="B69" s="431">
        <v>66</v>
      </c>
      <c r="C69" s="437" t="s">
        <v>976</v>
      </c>
      <c r="D69" s="438" t="s">
        <v>977</v>
      </c>
      <c r="E69" s="431" t="s">
        <v>1776</v>
      </c>
      <c r="F69" s="437">
        <f>'MT-ETUS'!O272</f>
        <v>0</v>
      </c>
      <c r="G69" s="439"/>
      <c r="H69" s="439"/>
      <c r="I69" s="440"/>
      <c r="J69" s="414"/>
      <c r="K69" s="413" t="s">
        <v>978</v>
      </c>
      <c r="L69" s="414">
        <v>5</v>
      </c>
      <c r="M69" s="414"/>
      <c r="N69" s="414"/>
      <c r="O69" s="386">
        <f t="shared" si="2"/>
        <v>1</v>
      </c>
      <c r="P69" s="414">
        <v>0</v>
      </c>
      <c r="Q69" s="414">
        <v>0</v>
      </c>
      <c r="R69" s="414">
        <v>1</v>
      </c>
      <c r="S69" s="414">
        <v>1</v>
      </c>
      <c r="T69" s="414">
        <v>1</v>
      </c>
      <c r="U69" s="414"/>
      <c r="V69" s="414">
        <v>0</v>
      </c>
      <c r="W69" s="414">
        <v>0</v>
      </c>
      <c r="X69" s="414">
        <v>0</v>
      </c>
      <c r="Y69" s="414">
        <v>0</v>
      </c>
      <c r="Z69" s="414"/>
    </row>
    <row r="70" spans="2:26" s="413" customFormat="1" ht="11.25" customHeight="1" x14ac:dyDescent="0.25">
      <c r="B70" s="431">
        <v>67</v>
      </c>
      <c r="C70" s="437" t="s">
        <v>979</v>
      </c>
      <c r="D70" s="438" t="s">
        <v>1777</v>
      </c>
      <c r="E70" s="431" t="s">
        <v>980</v>
      </c>
      <c r="F70" s="437" t="str">
        <f>"PRI : "&amp;'MT-ETUS'!M113&amp;"  -  SEC : "&amp;'MT-ETUS'!Q113&amp;"  -  CON : "&amp;'MT-ETUS'!U113</f>
        <v xml:space="preserve">PRI :   -  SEC :   -  CON : </v>
      </c>
      <c r="G70" s="439"/>
      <c r="H70" s="439"/>
      <c r="I70" s="440"/>
      <c r="J70" s="414"/>
      <c r="K70" s="413" t="s">
        <v>953</v>
      </c>
      <c r="L70" s="414">
        <v>5</v>
      </c>
      <c r="M70" s="414"/>
      <c r="N70" s="414">
        <v>1</v>
      </c>
      <c r="O70" s="386">
        <f t="shared" si="2"/>
        <v>1</v>
      </c>
      <c r="P70" s="414">
        <v>0</v>
      </c>
      <c r="Q70" s="414">
        <v>0</v>
      </c>
      <c r="R70" s="414">
        <v>1</v>
      </c>
      <c r="S70" s="414">
        <v>1</v>
      </c>
      <c r="T70" s="414">
        <v>1</v>
      </c>
      <c r="U70" s="414"/>
      <c r="V70" s="414">
        <v>0</v>
      </c>
      <c r="W70" s="414">
        <v>0</v>
      </c>
      <c r="X70" s="414">
        <v>0</v>
      </c>
      <c r="Y70" s="414">
        <v>0</v>
      </c>
      <c r="Z70" s="414"/>
    </row>
    <row r="71" spans="2:26" s="413" customFormat="1" ht="11.25" customHeight="1" x14ac:dyDescent="0.25">
      <c r="B71" s="431">
        <v>68</v>
      </c>
      <c r="C71" s="437" t="s">
        <v>979</v>
      </c>
      <c r="D71" s="438" t="s">
        <v>1778</v>
      </c>
      <c r="E71" s="431"/>
      <c r="F71" s="437" t="str">
        <f>"PRI : "&amp;'MT-ETUS'!O113&amp;"  -  SEC : "&amp;'MT-ETUS'!S113&amp;"  -  CON : "&amp;'MT-ETUS'!W113</f>
        <v xml:space="preserve">PRI :   -  SEC :   -  CON : </v>
      </c>
      <c r="G71" s="439"/>
      <c r="H71" s="439"/>
      <c r="I71" s="440"/>
      <c r="J71" s="414"/>
      <c r="L71" s="414">
        <v>5</v>
      </c>
      <c r="M71" s="414"/>
      <c r="N71" s="414">
        <v>1</v>
      </c>
      <c r="O71" s="386">
        <f t="shared" si="2"/>
        <v>1</v>
      </c>
      <c r="P71" s="414">
        <v>0</v>
      </c>
      <c r="Q71" s="414">
        <v>0</v>
      </c>
      <c r="R71" s="414">
        <v>1</v>
      </c>
      <c r="S71" s="414">
        <v>1</v>
      </c>
      <c r="T71" s="414">
        <v>1</v>
      </c>
      <c r="U71" s="414"/>
      <c r="V71" s="414">
        <v>0</v>
      </c>
      <c r="W71" s="414">
        <v>0</v>
      </c>
      <c r="X71" s="414">
        <v>0</v>
      </c>
      <c r="Y71" s="414">
        <v>0</v>
      </c>
      <c r="Z71" s="414"/>
    </row>
    <row r="72" spans="2:26" s="413" customFormat="1" ht="11.25" customHeight="1" x14ac:dyDescent="0.25">
      <c r="B72" s="431">
        <v>69</v>
      </c>
      <c r="C72" s="437" t="s">
        <v>981</v>
      </c>
      <c r="D72" s="438" t="s">
        <v>1779</v>
      </c>
      <c r="E72" s="431"/>
      <c r="F72" s="437" t="str">
        <f>"PRI.sup : "&amp;'MT-ETUS'!M113&amp;""</f>
        <v xml:space="preserve">PRI.sup : </v>
      </c>
      <c r="G72" s="439"/>
      <c r="H72" s="439"/>
      <c r="I72" s="440"/>
      <c r="J72" s="414"/>
      <c r="K72" s="413" t="s">
        <v>1780</v>
      </c>
      <c r="L72" s="414">
        <v>5</v>
      </c>
      <c r="M72" s="414"/>
      <c r="N72" s="414"/>
      <c r="O72" s="386">
        <f t="shared" si="2"/>
        <v>1</v>
      </c>
      <c r="P72" s="414">
        <v>0</v>
      </c>
      <c r="Q72" s="414">
        <v>0</v>
      </c>
      <c r="R72" s="414">
        <v>1</v>
      </c>
      <c r="S72" s="414">
        <v>1</v>
      </c>
      <c r="T72" s="414">
        <v>1</v>
      </c>
      <c r="U72" s="414"/>
      <c r="V72" s="414">
        <v>0</v>
      </c>
      <c r="W72" s="414">
        <v>0</v>
      </c>
      <c r="X72" s="414">
        <v>0</v>
      </c>
      <c r="Y72" s="414">
        <v>0</v>
      </c>
      <c r="Z72" s="414"/>
    </row>
    <row r="73" spans="2:26" s="413" customFormat="1" ht="11.25" customHeight="1" x14ac:dyDescent="0.25">
      <c r="B73" s="431">
        <v>70</v>
      </c>
      <c r="C73" s="437" t="s">
        <v>982</v>
      </c>
      <c r="D73" s="438" t="s">
        <v>983</v>
      </c>
      <c r="E73" s="431"/>
      <c r="F73" s="437" t="s">
        <v>984</v>
      </c>
      <c r="G73" s="439"/>
      <c r="H73" s="439"/>
      <c r="I73" s="440"/>
      <c r="J73" s="414"/>
      <c r="K73" s="413" t="s">
        <v>985</v>
      </c>
      <c r="L73" s="414">
        <v>5</v>
      </c>
      <c r="M73" s="414"/>
      <c r="N73" s="414"/>
      <c r="O73" s="386">
        <f t="shared" si="2"/>
        <v>1</v>
      </c>
      <c r="P73" s="414">
        <v>0</v>
      </c>
      <c r="Q73" s="414">
        <v>0</v>
      </c>
      <c r="R73" s="414">
        <v>0</v>
      </c>
      <c r="S73" s="414">
        <v>1</v>
      </c>
      <c r="T73" s="414">
        <v>1</v>
      </c>
      <c r="U73" s="414"/>
      <c r="V73" s="414">
        <v>0</v>
      </c>
      <c r="W73" s="414">
        <v>0</v>
      </c>
      <c r="X73" s="414">
        <v>0</v>
      </c>
      <c r="Y73" s="414">
        <v>0</v>
      </c>
      <c r="Z73" s="414"/>
    </row>
    <row r="74" spans="2:26" s="413" customFormat="1" ht="11.25" customHeight="1" x14ac:dyDescent="0.25">
      <c r="B74" s="431">
        <v>71</v>
      </c>
      <c r="C74" s="437" t="s">
        <v>986</v>
      </c>
      <c r="D74" s="438" t="s">
        <v>987</v>
      </c>
      <c r="E74" s="431" t="s">
        <v>1781</v>
      </c>
      <c r="F74" s="512" t="s">
        <v>1724</v>
      </c>
      <c r="G74" s="439"/>
      <c r="H74" s="439"/>
      <c r="I74" s="440"/>
      <c r="J74" s="414"/>
      <c r="K74" s="413" t="s">
        <v>988</v>
      </c>
      <c r="L74" s="414">
        <v>2</v>
      </c>
      <c r="M74" s="414"/>
      <c r="N74" s="414"/>
      <c r="O74" s="386">
        <f t="shared" si="2"/>
        <v>1</v>
      </c>
      <c r="P74" s="414">
        <v>0</v>
      </c>
      <c r="Q74" s="414">
        <v>0</v>
      </c>
      <c r="R74" s="414">
        <v>1</v>
      </c>
      <c r="S74" s="414">
        <v>1</v>
      </c>
      <c r="T74" s="414">
        <v>1</v>
      </c>
      <c r="U74" s="414"/>
      <c r="V74" s="414">
        <v>0</v>
      </c>
      <c r="W74" s="414">
        <v>0</v>
      </c>
      <c r="X74" s="414">
        <v>0</v>
      </c>
      <c r="Y74" s="414">
        <v>0</v>
      </c>
      <c r="Z74" s="414"/>
    </row>
    <row r="75" spans="2:26" s="413" customFormat="1" ht="11.25" customHeight="1" x14ac:dyDescent="0.25">
      <c r="B75" s="431">
        <v>72</v>
      </c>
      <c r="C75" s="437" t="s">
        <v>989</v>
      </c>
      <c r="D75" s="438" t="s">
        <v>408</v>
      </c>
      <c r="E75" s="431" t="s">
        <v>990</v>
      </c>
      <c r="F75" s="448" t="str">
        <f>'MT-ETUS'!M115&amp;" hay mat plástico ; ¿Soporta "&amp;'MT-ETUS'!S115&amp;" ºC y "&amp;'MT-ETUS'!W115&amp;" bar?"</f>
        <v>- hay mat plástico ; ¿Soporta  ºC y  bar?</v>
      </c>
      <c r="G75" s="439"/>
      <c r="H75" s="439"/>
      <c r="I75" s="440"/>
      <c r="J75" s="414"/>
      <c r="K75" s="413" t="s">
        <v>1782</v>
      </c>
      <c r="L75" s="414">
        <v>5</v>
      </c>
      <c r="M75" s="414"/>
      <c r="N75" s="414"/>
      <c r="O75" s="386">
        <f t="shared" si="2"/>
        <v>1</v>
      </c>
      <c r="P75" s="414">
        <v>0</v>
      </c>
      <c r="Q75" s="414">
        <v>0</v>
      </c>
      <c r="R75" s="414">
        <v>1</v>
      </c>
      <c r="S75" s="414">
        <v>1</v>
      </c>
      <c r="T75" s="414">
        <v>1</v>
      </c>
      <c r="U75" s="414"/>
      <c r="V75" s="414">
        <v>0</v>
      </c>
      <c r="W75" s="414">
        <v>1</v>
      </c>
      <c r="X75" s="414">
        <v>1</v>
      </c>
      <c r="Y75" s="414">
        <v>1</v>
      </c>
      <c r="Z75" s="414"/>
    </row>
    <row r="76" spans="2:26" s="413" customFormat="1" ht="11.25" customHeight="1" x14ac:dyDescent="0.25">
      <c r="B76" s="431">
        <v>73</v>
      </c>
      <c r="C76" s="437" t="s">
        <v>991</v>
      </c>
      <c r="D76" s="438" t="s">
        <v>992</v>
      </c>
      <c r="E76" s="431" t="s">
        <v>993</v>
      </c>
      <c r="F76" s="448" t="str">
        <f>'MT-ETUS'!M130&amp;" y "&amp;'MT-ETUS'!Q130</f>
        <v xml:space="preserve">- y </v>
      </c>
      <c r="G76" s="439"/>
      <c r="H76" s="439"/>
      <c r="I76" s="440"/>
      <c r="J76" s="414"/>
      <c r="L76" s="414">
        <v>4</v>
      </c>
      <c r="M76" s="414"/>
      <c r="N76" s="414"/>
      <c r="O76" s="386">
        <f t="shared" si="2"/>
        <v>1</v>
      </c>
      <c r="P76" s="414">
        <v>0</v>
      </c>
      <c r="Q76" s="414">
        <v>0</v>
      </c>
      <c r="R76" s="414">
        <v>0</v>
      </c>
      <c r="S76" s="414">
        <v>1</v>
      </c>
      <c r="T76" s="414">
        <v>1</v>
      </c>
      <c r="U76" s="414"/>
      <c r="V76" s="414">
        <v>0</v>
      </c>
      <c r="W76" s="414">
        <v>0</v>
      </c>
      <c r="X76" s="414">
        <v>0</v>
      </c>
      <c r="Y76" s="414">
        <v>0</v>
      </c>
      <c r="Z76" s="414"/>
    </row>
    <row r="77" spans="2:26" s="413" customFormat="1" ht="11.25" customHeight="1" x14ac:dyDescent="0.25">
      <c r="B77" s="431">
        <v>74</v>
      </c>
      <c r="C77" s="449" t="s">
        <v>994</v>
      </c>
      <c r="D77" s="438" t="s">
        <v>995</v>
      </c>
      <c r="E77" s="431" t="s">
        <v>996</v>
      </c>
      <c r="F77" s="448" t="str">
        <f>'MT-ETUS'!M131&amp;" y "&amp;'MT-ETUS'!Q131</f>
        <v xml:space="preserve">- y </v>
      </c>
      <c r="G77" s="439"/>
      <c r="H77" s="439"/>
      <c r="I77" s="440"/>
      <c r="J77" s="414"/>
      <c r="K77" s="413" t="s">
        <v>997</v>
      </c>
      <c r="L77" s="414">
        <v>4</v>
      </c>
      <c r="M77" s="414"/>
      <c r="N77" s="414"/>
      <c r="O77" s="386">
        <f t="shared" si="2"/>
        <v>1</v>
      </c>
      <c r="P77" s="414">
        <v>0</v>
      </c>
      <c r="Q77" s="414">
        <v>0</v>
      </c>
      <c r="R77" s="414">
        <v>0</v>
      </c>
      <c r="S77" s="414">
        <v>1</v>
      </c>
      <c r="T77" s="414">
        <v>1</v>
      </c>
      <c r="U77" s="414"/>
      <c r="V77" s="414">
        <v>0</v>
      </c>
      <c r="W77" s="414">
        <v>0</v>
      </c>
      <c r="X77" s="414">
        <v>0</v>
      </c>
      <c r="Y77" s="414">
        <v>0</v>
      </c>
      <c r="Z77" s="414"/>
    </row>
    <row r="78" spans="2:26" s="413" customFormat="1" ht="11.25" customHeight="1" x14ac:dyDescent="0.25">
      <c r="B78" s="431">
        <v>75</v>
      </c>
      <c r="C78" s="437" t="s">
        <v>998</v>
      </c>
      <c r="D78" s="438" t="s">
        <v>151</v>
      </c>
      <c r="E78" s="431" t="s">
        <v>999</v>
      </c>
      <c r="F78" s="448" t="str">
        <f>'MT-ETUS'!M132&amp;" y "&amp;'MT-ETUS'!Q132</f>
        <v xml:space="preserve">- y </v>
      </c>
      <c r="G78" s="439"/>
      <c r="H78" s="439"/>
      <c r="I78" s="440"/>
      <c r="J78" s="414"/>
      <c r="K78" s="413" t="s">
        <v>1000</v>
      </c>
      <c r="L78" s="414">
        <v>4</v>
      </c>
      <c r="M78" s="414"/>
      <c r="N78" s="414"/>
      <c r="O78" s="386">
        <f t="shared" si="2"/>
        <v>1</v>
      </c>
      <c r="P78" s="414">
        <v>0</v>
      </c>
      <c r="Q78" s="414">
        <v>0</v>
      </c>
      <c r="R78" s="414">
        <v>0</v>
      </c>
      <c r="S78" s="414">
        <v>1</v>
      </c>
      <c r="T78" s="414">
        <v>1</v>
      </c>
      <c r="U78" s="414"/>
      <c r="V78" s="414">
        <v>0</v>
      </c>
      <c r="W78" s="414">
        <v>0</v>
      </c>
      <c r="X78" s="414">
        <v>0</v>
      </c>
      <c r="Y78" s="414">
        <v>0</v>
      </c>
      <c r="Z78" s="414"/>
    </row>
    <row r="79" spans="2:26" s="413" customFormat="1" ht="11.25" customHeight="1" x14ac:dyDescent="0.25">
      <c r="B79" s="431">
        <v>76</v>
      </c>
      <c r="C79" s="437" t="s">
        <v>1001</v>
      </c>
      <c r="D79" s="438" t="s">
        <v>1002</v>
      </c>
      <c r="E79" s="431"/>
      <c r="F79" s="438" t="s">
        <v>1784</v>
      </c>
      <c r="G79" s="439"/>
      <c r="H79" s="439"/>
      <c r="I79" s="440"/>
      <c r="J79" s="414"/>
      <c r="K79" s="413" t="s">
        <v>1783</v>
      </c>
      <c r="L79" s="414">
        <v>4</v>
      </c>
      <c r="M79" s="414"/>
      <c r="N79" s="414"/>
      <c r="O79" s="386">
        <f t="shared" si="2"/>
        <v>1</v>
      </c>
      <c r="P79" s="414">
        <v>0</v>
      </c>
      <c r="Q79" s="414">
        <v>0</v>
      </c>
      <c r="R79" s="414">
        <v>0</v>
      </c>
      <c r="S79" s="414">
        <v>1</v>
      </c>
      <c r="T79" s="414">
        <v>1</v>
      </c>
      <c r="U79" s="414"/>
      <c r="V79" s="414">
        <v>0</v>
      </c>
      <c r="W79" s="414">
        <v>0</v>
      </c>
      <c r="X79" s="414">
        <v>0</v>
      </c>
      <c r="Y79" s="414">
        <v>0</v>
      </c>
      <c r="Z79" s="414"/>
    </row>
    <row r="80" spans="2:26" s="413" customFormat="1" ht="11.25" customHeight="1" x14ac:dyDescent="0.25">
      <c r="B80" s="431">
        <v>77</v>
      </c>
      <c r="C80" s="437" t="s">
        <v>1003</v>
      </c>
      <c r="D80" s="438" t="s">
        <v>150</v>
      </c>
      <c r="E80" s="431" t="s">
        <v>1004</v>
      </c>
      <c r="F80" s="438" t="str">
        <f>'MT-ETUS'!M136&amp;" y congela a "&amp;'MT-ETUS'!W136&amp;" ºC"</f>
        <v xml:space="preserve"> y congela a  ºC</v>
      </c>
      <c r="G80" s="439"/>
      <c r="H80" s="439"/>
      <c r="I80" s="440"/>
      <c r="J80" s="414"/>
      <c r="K80" s="413" t="s">
        <v>1785</v>
      </c>
      <c r="L80" s="414">
        <v>4</v>
      </c>
      <c r="M80" s="414"/>
      <c r="N80" s="414"/>
      <c r="O80" s="386">
        <f t="shared" si="2"/>
        <v>1</v>
      </c>
      <c r="P80" s="414">
        <v>0</v>
      </c>
      <c r="Q80" s="414">
        <v>0</v>
      </c>
      <c r="R80" s="414">
        <v>0</v>
      </c>
      <c r="S80" s="414">
        <v>1</v>
      </c>
      <c r="T80" s="414">
        <v>1</v>
      </c>
      <c r="U80" s="414"/>
      <c r="V80" s="414">
        <v>0</v>
      </c>
      <c r="W80" s="414">
        <v>0</v>
      </c>
      <c r="X80" s="414">
        <v>0</v>
      </c>
      <c r="Y80" s="414">
        <v>0</v>
      </c>
      <c r="Z80" s="414"/>
    </row>
    <row r="81" spans="2:26" s="413" customFormat="1" ht="11.25" customHeight="1" x14ac:dyDescent="0.25">
      <c r="B81" s="431">
        <v>78</v>
      </c>
      <c r="C81" s="437" t="s">
        <v>1005</v>
      </c>
      <c r="D81" s="438" t="s">
        <v>1786</v>
      </c>
      <c r="E81" s="431"/>
      <c r="F81" s="438" t="s">
        <v>1784</v>
      </c>
      <c r="G81" s="439"/>
      <c r="H81" s="439"/>
      <c r="I81" s="440"/>
      <c r="J81" s="414"/>
      <c r="K81" s="413" t="s">
        <v>1787</v>
      </c>
      <c r="L81" s="414">
        <v>4</v>
      </c>
      <c r="M81" s="414"/>
      <c r="N81" s="414"/>
      <c r="O81" s="386">
        <f t="shared" si="2"/>
        <v>1</v>
      </c>
      <c r="P81" s="414">
        <v>0</v>
      </c>
      <c r="Q81" s="414">
        <v>0</v>
      </c>
      <c r="R81" s="414">
        <v>0</v>
      </c>
      <c r="S81" s="414">
        <v>1</v>
      </c>
      <c r="T81" s="414">
        <v>1</v>
      </c>
      <c r="U81" s="414"/>
      <c r="V81" s="414">
        <v>0</v>
      </c>
      <c r="W81" s="414">
        <v>0</v>
      </c>
      <c r="X81" s="414">
        <v>0</v>
      </c>
      <c r="Y81" s="414">
        <v>0</v>
      </c>
      <c r="Z81" s="414"/>
    </row>
    <row r="82" spans="2:26" s="413" customFormat="1" ht="11.25" customHeight="1" x14ac:dyDescent="0.25">
      <c r="B82" s="431">
        <v>79</v>
      </c>
      <c r="C82" s="437" t="s">
        <v>1005</v>
      </c>
      <c r="D82" s="438" t="s">
        <v>1007</v>
      </c>
      <c r="E82" s="431"/>
      <c r="F82" s="438" t="s">
        <v>1784</v>
      </c>
      <c r="G82" s="439"/>
      <c r="H82" s="439"/>
      <c r="I82" s="440"/>
      <c r="J82" s="414"/>
      <c r="K82" s="413" t="s">
        <v>1006</v>
      </c>
      <c r="L82" s="414">
        <v>4</v>
      </c>
      <c r="M82" s="414"/>
      <c r="N82" s="414"/>
      <c r="O82" s="386">
        <f t="shared" si="2"/>
        <v>1</v>
      </c>
      <c r="P82" s="414">
        <v>0</v>
      </c>
      <c r="Q82" s="414">
        <v>0</v>
      </c>
      <c r="R82" s="414">
        <v>0</v>
      </c>
      <c r="S82" s="414">
        <v>1</v>
      </c>
      <c r="T82" s="414">
        <v>1</v>
      </c>
      <c r="U82" s="414"/>
      <c r="V82" s="414">
        <v>0</v>
      </c>
      <c r="W82" s="414">
        <v>0</v>
      </c>
      <c r="X82" s="414">
        <v>0</v>
      </c>
      <c r="Y82" s="414">
        <v>0</v>
      </c>
      <c r="Z82" s="414"/>
    </row>
    <row r="83" spans="2:26" s="413" customFormat="1" ht="11.25" customHeight="1" x14ac:dyDescent="0.25">
      <c r="B83" s="431">
        <v>80</v>
      </c>
      <c r="C83" s="437" t="s">
        <v>1005</v>
      </c>
      <c r="D83" s="438" t="s">
        <v>1008</v>
      </c>
      <c r="E83" s="431"/>
      <c r="F83" s="438" t="s">
        <v>1784</v>
      </c>
      <c r="G83" s="439"/>
      <c r="H83" s="439"/>
      <c r="I83" s="440"/>
      <c r="J83" s="414"/>
      <c r="K83" s="450" t="s">
        <v>1009</v>
      </c>
      <c r="L83" s="414">
        <v>4</v>
      </c>
      <c r="M83" s="414"/>
      <c r="N83" s="451"/>
      <c r="O83" s="386">
        <f t="shared" si="2"/>
        <v>1</v>
      </c>
      <c r="P83" s="414">
        <v>0</v>
      </c>
      <c r="Q83" s="414">
        <v>0</v>
      </c>
      <c r="R83" s="414">
        <v>0</v>
      </c>
      <c r="S83" s="414">
        <v>1</v>
      </c>
      <c r="T83" s="414">
        <v>1</v>
      </c>
      <c r="U83" s="414"/>
      <c r="V83" s="414">
        <v>0</v>
      </c>
      <c r="W83" s="414">
        <v>0</v>
      </c>
      <c r="X83" s="414">
        <v>0</v>
      </c>
      <c r="Y83" s="414">
        <v>0</v>
      </c>
      <c r="Z83" s="414"/>
    </row>
    <row r="84" spans="2:26" s="413" customFormat="1" ht="11.25" customHeight="1" x14ac:dyDescent="0.25">
      <c r="B84" s="431">
        <v>81</v>
      </c>
      <c r="C84" s="437" t="s">
        <v>1010</v>
      </c>
      <c r="D84" s="438" t="s">
        <v>1011</v>
      </c>
      <c r="E84" s="431" t="s">
        <v>1788</v>
      </c>
      <c r="F84" s="448" t="str">
        <f>'MT-ETUS'!M134&amp;" y "&amp;'MT-ETUS'!Q134&amp;" - "&amp;'MT-ETUS'!M135&amp;" y "&amp;'MT-ETUS'!Q135</f>
        <v xml:space="preserve">- y  - - y </v>
      </c>
      <c r="G84" s="439"/>
      <c r="H84" s="439"/>
      <c r="I84" s="440"/>
      <c r="J84" s="414"/>
      <c r="K84" s="413" t="s">
        <v>1013</v>
      </c>
      <c r="L84" s="414">
        <v>5</v>
      </c>
      <c r="M84" s="414"/>
      <c r="N84" s="414"/>
      <c r="O84" s="386">
        <f t="shared" si="2"/>
        <v>1</v>
      </c>
      <c r="P84" s="414">
        <v>0</v>
      </c>
      <c r="Q84" s="414">
        <v>0</v>
      </c>
      <c r="R84" s="414">
        <v>0</v>
      </c>
      <c r="S84" s="414">
        <v>1</v>
      </c>
      <c r="T84" s="414">
        <v>1</v>
      </c>
      <c r="U84" s="414"/>
      <c r="V84" s="414">
        <v>0</v>
      </c>
      <c r="W84" s="414">
        <v>0</v>
      </c>
      <c r="X84" s="414">
        <v>1</v>
      </c>
      <c r="Y84" s="414">
        <v>1</v>
      </c>
      <c r="Z84" s="414"/>
    </row>
    <row r="85" spans="2:26" s="413" customFormat="1" ht="11.25" customHeight="1" x14ac:dyDescent="0.25">
      <c r="B85" s="431">
        <v>82</v>
      </c>
      <c r="C85" s="437" t="s">
        <v>1014</v>
      </c>
      <c r="D85" s="438" t="s">
        <v>1802</v>
      </c>
      <c r="E85" s="431" t="s">
        <v>1015</v>
      </c>
      <c r="F85" s="437" t="str">
        <f>'MT-ETUS'!M116&amp;" con "&amp;'MT-ETUS'!Q116</f>
        <v xml:space="preserve">- con </v>
      </c>
      <c r="G85" s="439"/>
      <c r="H85" s="439"/>
      <c r="I85" s="440"/>
      <c r="J85" s="414"/>
      <c r="K85" s="413" t="s">
        <v>1817</v>
      </c>
      <c r="L85" s="414">
        <v>5</v>
      </c>
      <c r="M85" s="414"/>
      <c r="N85" s="414">
        <v>1</v>
      </c>
      <c r="O85" s="386">
        <f t="shared" si="2"/>
        <v>1</v>
      </c>
      <c r="P85" s="414">
        <v>0</v>
      </c>
      <c r="Q85" s="414">
        <v>0</v>
      </c>
      <c r="R85" s="414">
        <v>1</v>
      </c>
      <c r="S85" s="414">
        <v>1</v>
      </c>
      <c r="T85" s="414">
        <v>1</v>
      </c>
      <c r="U85" s="414"/>
      <c r="V85" s="414">
        <v>0</v>
      </c>
      <c r="W85" s="414">
        <v>1</v>
      </c>
      <c r="X85" s="414">
        <v>1</v>
      </c>
      <c r="Y85" s="414">
        <v>1</v>
      </c>
      <c r="Z85" s="414"/>
    </row>
    <row r="86" spans="2:26" s="413" customFormat="1" ht="11.25" customHeight="1" x14ac:dyDescent="0.25">
      <c r="B86" s="431">
        <v>83</v>
      </c>
      <c r="C86" s="437" t="s">
        <v>1016</v>
      </c>
      <c r="D86" s="438" t="s">
        <v>1803</v>
      </c>
      <c r="E86" s="431" t="s">
        <v>1811</v>
      </c>
      <c r="F86" s="437" t="str">
        <f>'MT-ETUS'!M117&amp;" con "&amp;'MT-ETUS'!Q117</f>
        <v xml:space="preserve">- con </v>
      </c>
      <c r="G86" s="439"/>
      <c r="H86" s="439"/>
      <c r="I86" s="440"/>
      <c r="J86" s="414"/>
      <c r="K86" s="413" t="s">
        <v>1818</v>
      </c>
      <c r="L86" s="414">
        <v>5</v>
      </c>
      <c r="M86" s="414"/>
      <c r="N86" s="414">
        <v>1</v>
      </c>
      <c r="O86" s="386">
        <f t="shared" si="2"/>
        <v>1</v>
      </c>
      <c r="P86" s="414">
        <v>0</v>
      </c>
      <c r="Q86" s="414">
        <v>0</v>
      </c>
      <c r="R86" s="414">
        <v>1</v>
      </c>
      <c r="S86" s="414">
        <v>1</v>
      </c>
      <c r="T86" s="414">
        <v>1</v>
      </c>
      <c r="U86" s="414"/>
      <c r="V86" s="414">
        <v>0</v>
      </c>
      <c r="W86" s="414">
        <v>1</v>
      </c>
      <c r="X86" s="414">
        <v>1</v>
      </c>
      <c r="Y86" s="414">
        <v>1</v>
      </c>
      <c r="Z86" s="414"/>
    </row>
    <row r="87" spans="2:26" s="413" customFormat="1" ht="11.25" customHeight="1" x14ac:dyDescent="0.25">
      <c r="B87" s="431">
        <v>84</v>
      </c>
      <c r="C87" s="437" t="s">
        <v>1017</v>
      </c>
      <c r="D87" s="438" t="s">
        <v>1804</v>
      </c>
      <c r="E87" s="431" t="s">
        <v>1020</v>
      </c>
      <c r="F87" s="437" t="str">
        <f>'MT-ETUS'!M118&amp;" con "&amp;'MT-ETUS'!Q118</f>
        <v xml:space="preserve">- con </v>
      </c>
      <c r="G87" s="439"/>
      <c r="H87" s="439"/>
      <c r="I87" s="440"/>
      <c r="J87" s="414"/>
      <c r="K87" s="413" t="s">
        <v>1018</v>
      </c>
      <c r="L87" s="414">
        <v>5</v>
      </c>
      <c r="M87" s="414"/>
      <c r="N87" s="414">
        <v>1</v>
      </c>
      <c r="O87" s="386">
        <f t="shared" si="2"/>
        <v>1</v>
      </c>
      <c r="P87" s="414">
        <v>0</v>
      </c>
      <c r="Q87" s="414">
        <v>0</v>
      </c>
      <c r="R87" s="414">
        <v>1</v>
      </c>
      <c r="S87" s="414">
        <v>1</v>
      </c>
      <c r="T87" s="414">
        <v>1</v>
      </c>
      <c r="U87" s="414"/>
      <c r="V87" s="414">
        <v>0</v>
      </c>
      <c r="W87" s="414">
        <v>1</v>
      </c>
      <c r="X87" s="414">
        <v>1</v>
      </c>
      <c r="Y87" s="414">
        <v>1</v>
      </c>
      <c r="Z87" s="414"/>
    </row>
    <row r="88" spans="2:26" s="413" customFormat="1" ht="11.25" customHeight="1" x14ac:dyDescent="0.25">
      <c r="B88" s="431">
        <v>85</v>
      </c>
      <c r="C88" s="437" t="s">
        <v>1019</v>
      </c>
      <c r="D88" s="438" t="s">
        <v>1805</v>
      </c>
      <c r="E88" s="431" t="s">
        <v>1812</v>
      </c>
      <c r="F88" s="437" t="str">
        <f>'MT-ETUS'!M119&amp;" con "&amp;'MT-ETUS'!Q119</f>
        <v xml:space="preserve">- con </v>
      </c>
      <c r="G88" s="439"/>
      <c r="H88" s="439"/>
      <c r="I88" s="440"/>
      <c r="J88" s="414"/>
      <c r="K88" s="413" t="s">
        <v>1021</v>
      </c>
      <c r="L88" s="414">
        <v>5</v>
      </c>
      <c r="M88" s="414"/>
      <c r="N88" s="414">
        <v>1</v>
      </c>
      <c r="O88" s="386">
        <f t="shared" si="2"/>
        <v>1</v>
      </c>
      <c r="P88" s="414">
        <v>0</v>
      </c>
      <c r="Q88" s="414">
        <v>0</v>
      </c>
      <c r="R88" s="414">
        <v>1</v>
      </c>
      <c r="S88" s="414">
        <v>1</v>
      </c>
      <c r="T88" s="414">
        <v>1</v>
      </c>
      <c r="U88" s="414"/>
      <c r="V88" s="414">
        <v>0</v>
      </c>
      <c r="W88" s="414">
        <v>1</v>
      </c>
      <c r="X88" s="414">
        <v>1</v>
      </c>
      <c r="Y88" s="414">
        <v>1</v>
      </c>
      <c r="Z88" s="414"/>
    </row>
    <row r="89" spans="2:26" s="413" customFormat="1" ht="11.25" customHeight="1" x14ac:dyDescent="0.25">
      <c r="B89" s="431">
        <v>86</v>
      </c>
      <c r="C89" s="437" t="s">
        <v>1019</v>
      </c>
      <c r="D89" s="438" t="s">
        <v>1806</v>
      </c>
      <c r="E89" s="431" t="s">
        <v>1024</v>
      </c>
      <c r="F89" s="437" t="str">
        <f>'MT-ETUS'!M120&amp;" con "&amp;'MT-ETUS'!Q120</f>
        <v xml:space="preserve">- con </v>
      </c>
      <c r="G89" s="439"/>
      <c r="H89" s="439"/>
      <c r="I89" s="440"/>
      <c r="J89" s="414"/>
      <c r="K89" s="413" t="s">
        <v>1819</v>
      </c>
      <c r="L89" s="414">
        <v>5</v>
      </c>
      <c r="M89" s="414"/>
      <c r="N89" s="414">
        <v>1</v>
      </c>
      <c r="O89" s="386">
        <f t="shared" si="2"/>
        <v>1</v>
      </c>
      <c r="P89" s="414">
        <v>0</v>
      </c>
      <c r="Q89" s="414">
        <v>0</v>
      </c>
      <c r="R89" s="414">
        <v>1</v>
      </c>
      <c r="S89" s="414">
        <v>1</v>
      </c>
      <c r="T89" s="414">
        <v>1</v>
      </c>
      <c r="U89" s="414"/>
      <c r="V89" s="414">
        <v>0</v>
      </c>
      <c r="W89" s="414">
        <v>1</v>
      </c>
      <c r="X89" s="414">
        <v>1</v>
      </c>
      <c r="Y89" s="414">
        <v>1</v>
      </c>
      <c r="Z89" s="414"/>
    </row>
    <row r="90" spans="2:26" s="413" customFormat="1" ht="11.25" customHeight="1" x14ac:dyDescent="0.25">
      <c r="B90" s="431">
        <v>87</v>
      </c>
      <c r="C90" s="437" t="s">
        <v>1019</v>
      </c>
      <c r="D90" s="438" t="s">
        <v>1807</v>
      </c>
      <c r="E90" s="431" t="s">
        <v>1813</v>
      </c>
      <c r="F90" s="437" t="str">
        <f>'MT-ETUS'!M121&amp;" con "&amp;'MT-ETUS'!Q121</f>
        <v xml:space="preserve">- con </v>
      </c>
      <c r="G90" s="439"/>
      <c r="H90" s="439"/>
      <c r="I90" s="440"/>
      <c r="J90" s="414"/>
      <c r="K90" s="413" t="s">
        <v>1022</v>
      </c>
      <c r="L90" s="414">
        <v>5</v>
      </c>
      <c r="M90" s="414"/>
      <c r="N90" s="414">
        <v>1</v>
      </c>
      <c r="O90" s="386">
        <f t="shared" si="2"/>
        <v>1</v>
      </c>
      <c r="P90" s="414">
        <v>0</v>
      </c>
      <c r="Q90" s="414">
        <v>0</v>
      </c>
      <c r="R90" s="414">
        <v>1</v>
      </c>
      <c r="S90" s="414">
        <v>1</v>
      </c>
      <c r="T90" s="414">
        <v>1</v>
      </c>
      <c r="U90" s="414"/>
      <c r="V90" s="414">
        <v>0</v>
      </c>
      <c r="W90" s="414">
        <v>1</v>
      </c>
      <c r="X90" s="414">
        <v>1</v>
      </c>
      <c r="Y90" s="414">
        <v>1</v>
      </c>
      <c r="Z90" s="414"/>
    </row>
    <row r="91" spans="2:26" s="413" customFormat="1" ht="11.25" customHeight="1" x14ac:dyDescent="0.25">
      <c r="B91" s="431">
        <v>88</v>
      </c>
      <c r="C91" s="437" t="s">
        <v>1023</v>
      </c>
      <c r="D91" s="438" t="s">
        <v>1808</v>
      </c>
      <c r="E91" s="431" t="s">
        <v>1029</v>
      </c>
      <c r="F91" s="437" t="str">
        <f>'MT-ETUS'!M122&amp;" y "&amp;'MT-ETUS'!Q122</f>
        <v xml:space="preserve">- y </v>
      </c>
      <c r="G91" s="439"/>
      <c r="H91" s="439"/>
      <c r="I91" s="440"/>
      <c r="J91" s="414"/>
      <c r="K91" s="413" t="s">
        <v>1820</v>
      </c>
      <c r="L91" s="414">
        <v>5</v>
      </c>
      <c r="M91" s="414"/>
      <c r="N91" s="414">
        <v>1</v>
      </c>
      <c r="O91" s="386">
        <f t="shared" si="2"/>
        <v>1</v>
      </c>
      <c r="P91" s="414">
        <v>0</v>
      </c>
      <c r="Q91" s="414">
        <v>0</v>
      </c>
      <c r="R91" s="414">
        <v>1</v>
      </c>
      <c r="S91" s="414">
        <v>1</v>
      </c>
      <c r="T91" s="414">
        <v>1</v>
      </c>
      <c r="U91" s="414"/>
      <c r="V91" s="414">
        <v>0</v>
      </c>
      <c r="W91" s="414">
        <v>0</v>
      </c>
      <c r="X91" s="414">
        <v>0</v>
      </c>
      <c r="Y91" s="414">
        <v>0</v>
      </c>
      <c r="Z91" s="414"/>
    </row>
    <row r="92" spans="2:26" s="413" customFormat="1" ht="11.25" customHeight="1" x14ac:dyDescent="0.25">
      <c r="B92" s="431">
        <v>89</v>
      </c>
      <c r="C92" s="437" t="s">
        <v>1025</v>
      </c>
      <c r="D92" s="438" t="s">
        <v>1026</v>
      </c>
      <c r="E92" s="431" t="s">
        <v>1027</v>
      </c>
      <c r="F92" s="448" t="str">
        <f>'MT-ETUS'!M129&amp;" y "&amp;'MT-ETUS'!Q129</f>
        <v xml:space="preserve">- y </v>
      </c>
      <c r="G92" s="439"/>
      <c r="H92" s="439"/>
      <c r="I92" s="440"/>
      <c r="J92" s="414"/>
      <c r="L92" s="414">
        <v>5</v>
      </c>
      <c r="M92" s="414"/>
      <c r="N92" s="414"/>
      <c r="O92" s="386">
        <f t="shared" si="2"/>
        <v>1</v>
      </c>
      <c r="P92" s="414">
        <v>0</v>
      </c>
      <c r="Q92" s="414">
        <v>0</v>
      </c>
      <c r="R92" s="414">
        <v>1</v>
      </c>
      <c r="S92" s="414">
        <v>1</v>
      </c>
      <c r="T92" s="414">
        <v>1</v>
      </c>
      <c r="U92" s="414"/>
      <c r="V92" s="414">
        <v>0</v>
      </c>
      <c r="W92" s="414">
        <v>0</v>
      </c>
      <c r="X92" s="414">
        <v>0</v>
      </c>
      <c r="Y92" s="414">
        <v>0</v>
      </c>
      <c r="Z92" s="414"/>
    </row>
    <row r="93" spans="2:26" s="413" customFormat="1" ht="11.25" customHeight="1" x14ac:dyDescent="0.25">
      <c r="B93" s="431">
        <v>90</v>
      </c>
      <c r="C93" s="437" t="s">
        <v>1028</v>
      </c>
      <c r="D93" s="438" t="s">
        <v>1809</v>
      </c>
      <c r="E93" s="431" t="s">
        <v>238</v>
      </c>
      <c r="F93" s="511" t="s">
        <v>1816</v>
      </c>
      <c r="G93" s="439"/>
      <c r="H93" s="439"/>
      <c r="I93" s="440"/>
      <c r="J93" s="414"/>
      <c r="K93" s="413" t="s">
        <v>1821</v>
      </c>
      <c r="L93" s="414">
        <v>2</v>
      </c>
      <c r="M93" s="414"/>
      <c r="N93" s="414"/>
      <c r="O93" s="386">
        <f t="shared" si="2"/>
        <v>1</v>
      </c>
      <c r="P93" s="414">
        <v>0</v>
      </c>
      <c r="Q93" s="414">
        <v>0</v>
      </c>
      <c r="R93" s="414">
        <v>1</v>
      </c>
      <c r="S93" s="414">
        <v>1</v>
      </c>
      <c r="T93" s="414">
        <v>1</v>
      </c>
      <c r="U93" s="414"/>
      <c r="V93" s="414">
        <v>0</v>
      </c>
      <c r="W93" s="414">
        <v>0</v>
      </c>
      <c r="X93" s="414">
        <v>0</v>
      </c>
      <c r="Y93" s="414">
        <v>0</v>
      </c>
      <c r="Z93" s="414"/>
    </row>
    <row r="94" spans="2:26" s="413" customFormat="1" ht="11.25" customHeight="1" x14ac:dyDescent="0.25">
      <c r="B94" s="431">
        <v>91</v>
      </c>
      <c r="C94" s="437" t="s">
        <v>1030</v>
      </c>
      <c r="D94" s="438" t="s">
        <v>1810</v>
      </c>
      <c r="E94" s="431" t="s">
        <v>1814</v>
      </c>
      <c r="F94" s="437" t="str">
        <f>'MT-ETUS'!M123&amp;" y "&amp;'MT-ETUS'!Q123</f>
        <v xml:space="preserve">- y </v>
      </c>
      <c r="G94" s="439"/>
      <c r="H94" s="439"/>
      <c r="I94" s="440"/>
      <c r="J94" s="414"/>
      <c r="K94" s="413" t="s">
        <v>1822</v>
      </c>
      <c r="L94" s="414">
        <v>5</v>
      </c>
      <c r="M94" s="414"/>
      <c r="N94" s="414"/>
      <c r="O94" s="386">
        <f t="shared" si="2"/>
        <v>1</v>
      </c>
      <c r="P94" s="414">
        <v>0</v>
      </c>
      <c r="Q94" s="414">
        <v>0</v>
      </c>
      <c r="R94" s="414">
        <v>1</v>
      </c>
      <c r="S94" s="414">
        <v>1</v>
      </c>
      <c r="T94" s="414">
        <v>1</v>
      </c>
      <c r="U94" s="414"/>
      <c r="V94" s="414">
        <v>0</v>
      </c>
      <c r="W94" s="414">
        <v>0</v>
      </c>
      <c r="X94" s="414">
        <v>0</v>
      </c>
      <c r="Y94" s="414">
        <v>0</v>
      </c>
      <c r="Z94" s="414"/>
    </row>
    <row r="95" spans="2:26" s="413" customFormat="1" ht="11.25" customHeight="1" x14ac:dyDescent="0.25">
      <c r="B95" s="431">
        <v>92</v>
      </c>
      <c r="C95" s="437"/>
      <c r="D95" s="438" t="s">
        <v>238</v>
      </c>
      <c r="E95" s="431"/>
      <c r="F95" s="437"/>
      <c r="G95" s="439"/>
      <c r="H95" s="439"/>
      <c r="I95" s="440"/>
      <c r="J95" s="414"/>
      <c r="L95" s="414">
        <v>0</v>
      </c>
      <c r="M95" s="414"/>
      <c r="N95" s="414"/>
      <c r="O95" s="386">
        <f t="shared" si="2"/>
        <v>0</v>
      </c>
      <c r="P95" s="414">
        <v>0</v>
      </c>
      <c r="Q95" s="414">
        <v>0</v>
      </c>
      <c r="R95" s="414">
        <v>0</v>
      </c>
      <c r="S95" s="414">
        <v>0</v>
      </c>
      <c r="T95" s="414">
        <v>0</v>
      </c>
      <c r="U95" s="414"/>
      <c r="V95" s="414">
        <v>0</v>
      </c>
      <c r="W95" s="414">
        <v>0</v>
      </c>
      <c r="X95" s="414">
        <v>0</v>
      </c>
      <c r="Y95" s="414">
        <v>0</v>
      </c>
      <c r="Z95" s="414"/>
    </row>
    <row r="96" spans="2:26" s="413" customFormat="1" ht="11.25" customHeight="1" x14ac:dyDescent="0.25">
      <c r="B96" s="431">
        <v>93</v>
      </c>
      <c r="D96" s="413" t="s">
        <v>238</v>
      </c>
      <c r="G96" s="439"/>
      <c r="H96" s="439"/>
      <c r="I96" s="440"/>
      <c r="J96" s="414"/>
      <c r="L96" s="414">
        <v>0</v>
      </c>
      <c r="M96" s="414"/>
      <c r="N96" s="414"/>
      <c r="O96" s="386">
        <f t="shared" si="2"/>
        <v>0</v>
      </c>
      <c r="P96" s="414">
        <v>0</v>
      </c>
      <c r="Q96" s="414">
        <v>0</v>
      </c>
      <c r="R96" s="414">
        <v>0</v>
      </c>
      <c r="S96" s="414">
        <v>0</v>
      </c>
      <c r="T96" s="414">
        <v>0</v>
      </c>
      <c r="U96" s="414"/>
      <c r="V96" s="414">
        <v>0</v>
      </c>
      <c r="W96" s="414">
        <v>0</v>
      </c>
      <c r="X96" s="414">
        <v>0</v>
      </c>
      <c r="Y96" s="414">
        <v>0</v>
      </c>
      <c r="Z96" s="414"/>
    </row>
    <row r="97" spans="2:26" s="413" customFormat="1" ht="11.25" customHeight="1" x14ac:dyDescent="0.25">
      <c r="B97" s="431">
        <v>94</v>
      </c>
      <c r="D97" s="413" t="s">
        <v>238</v>
      </c>
      <c r="G97" s="439"/>
      <c r="H97" s="439"/>
      <c r="I97" s="440"/>
      <c r="J97" s="414"/>
      <c r="L97" s="414">
        <v>0</v>
      </c>
      <c r="M97" s="414"/>
      <c r="N97" s="414"/>
      <c r="O97" s="386">
        <f t="shared" si="2"/>
        <v>0</v>
      </c>
      <c r="P97" s="414">
        <v>0</v>
      </c>
      <c r="Q97" s="414">
        <v>0</v>
      </c>
      <c r="R97" s="414">
        <v>0</v>
      </c>
      <c r="S97" s="414">
        <v>0</v>
      </c>
      <c r="T97" s="414">
        <v>0</v>
      </c>
      <c r="U97" s="414"/>
      <c r="V97" s="414">
        <v>0</v>
      </c>
      <c r="W97" s="414">
        <v>0</v>
      </c>
      <c r="X97" s="414">
        <v>0</v>
      </c>
      <c r="Y97" s="414">
        <v>0</v>
      </c>
      <c r="Z97" s="414"/>
    </row>
    <row r="98" spans="2:26" s="420" customFormat="1" ht="11.25" customHeight="1" x14ac:dyDescent="0.25">
      <c r="B98" s="431">
        <v>95</v>
      </c>
      <c r="C98" s="432"/>
      <c r="D98" s="433" t="s">
        <v>1031</v>
      </c>
      <c r="E98" s="434"/>
      <c r="F98" s="432"/>
      <c r="G98" s="435"/>
      <c r="H98" s="435"/>
      <c r="I98" s="436"/>
      <c r="J98" s="414"/>
      <c r="L98" s="414">
        <v>0</v>
      </c>
      <c r="M98" s="414"/>
      <c r="N98" s="428"/>
      <c r="O98" s="386" t="str">
        <f t="shared" si="2"/>
        <v>x</v>
      </c>
      <c r="P98" s="414" t="s">
        <v>2</v>
      </c>
      <c r="Q98" s="414" t="s">
        <v>2</v>
      </c>
      <c r="R98" s="414" t="s">
        <v>2</v>
      </c>
      <c r="S98" s="414" t="s">
        <v>2</v>
      </c>
      <c r="T98" s="414" t="s">
        <v>2</v>
      </c>
      <c r="U98" s="414"/>
      <c r="V98" s="414" t="s">
        <v>2</v>
      </c>
      <c r="W98" s="414" t="s">
        <v>2</v>
      </c>
      <c r="X98" s="414" t="s">
        <v>2</v>
      </c>
      <c r="Y98" s="414" t="s">
        <v>2</v>
      </c>
      <c r="Z98" s="414"/>
    </row>
    <row r="99" spans="2:26" s="413" customFormat="1" ht="11.25" customHeight="1" x14ac:dyDescent="0.25">
      <c r="B99" s="431">
        <v>96</v>
      </c>
      <c r="C99" s="437" t="s">
        <v>1032</v>
      </c>
      <c r="D99" s="438" t="s">
        <v>180</v>
      </c>
      <c r="E99" s="431" t="s">
        <v>1849</v>
      </c>
      <c r="F99" s="448">
        <f>'MT-ETUS'!M294</f>
        <v>0</v>
      </c>
      <c r="G99" s="439"/>
      <c r="H99" s="439"/>
      <c r="I99" s="440"/>
      <c r="J99" s="414"/>
      <c r="L99" s="414">
        <v>5</v>
      </c>
      <c r="M99" s="414"/>
      <c r="N99" s="414">
        <v>1</v>
      </c>
      <c r="O99" s="386">
        <f t="shared" si="2"/>
        <v>1</v>
      </c>
      <c r="P99" s="414">
        <v>0</v>
      </c>
      <c r="Q99" s="414">
        <v>0</v>
      </c>
      <c r="R99" s="414">
        <v>1</v>
      </c>
      <c r="S99" s="414">
        <v>1</v>
      </c>
      <c r="T99" s="414">
        <v>1</v>
      </c>
      <c r="U99" s="414"/>
      <c r="V99" s="414">
        <v>0</v>
      </c>
      <c r="W99" s="414">
        <v>0</v>
      </c>
      <c r="X99" s="414">
        <v>0</v>
      </c>
      <c r="Y99" s="414">
        <v>0</v>
      </c>
      <c r="Z99" s="414"/>
    </row>
    <row r="100" spans="2:26" s="413" customFormat="1" ht="11.25" customHeight="1" x14ac:dyDescent="0.25">
      <c r="B100" s="431">
        <v>97</v>
      </c>
      <c r="C100" s="437" t="s">
        <v>1032</v>
      </c>
      <c r="D100" s="438" t="s">
        <v>1033</v>
      </c>
      <c r="E100" s="431" t="s">
        <v>1850</v>
      </c>
      <c r="F100" s="448">
        <f>'MT-ETUS'!M295</f>
        <v>0</v>
      </c>
      <c r="G100" s="439"/>
      <c r="H100" s="439"/>
      <c r="I100" s="440"/>
      <c r="J100" s="414"/>
      <c r="L100" s="414">
        <v>5</v>
      </c>
      <c r="M100" s="414"/>
      <c r="N100" s="414">
        <v>1</v>
      </c>
      <c r="O100" s="386">
        <f t="shared" si="2"/>
        <v>1</v>
      </c>
      <c r="P100" s="414">
        <v>0</v>
      </c>
      <c r="Q100" s="414">
        <v>0</v>
      </c>
      <c r="R100" s="414">
        <v>1</v>
      </c>
      <c r="S100" s="414">
        <v>1</v>
      </c>
      <c r="T100" s="414">
        <v>1</v>
      </c>
      <c r="U100" s="414"/>
      <c r="V100" s="414">
        <v>0</v>
      </c>
      <c r="W100" s="414">
        <v>0</v>
      </c>
      <c r="X100" s="414">
        <v>0</v>
      </c>
      <c r="Y100" s="414">
        <v>0</v>
      </c>
      <c r="Z100" s="414"/>
    </row>
    <row r="101" spans="2:26" s="413" customFormat="1" ht="11.25" customHeight="1" x14ac:dyDescent="0.25">
      <c r="B101" s="431">
        <v>98</v>
      </c>
      <c r="C101" s="437" t="s">
        <v>1032</v>
      </c>
      <c r="D101" s="438" t="s">
        <v>183</v>
      </c>
      <c r="E101" s="431" t="s">
        <v>1034</v>
      </c>
      <c r="F101" s="448">
        <f>'MT-ETUS'!M296</f>
        <v>0</v>
      </c>
      <c r="G101" s="439"/>
      <c r="H101" s="439"/>
      <c r="I101" s="440"/>
      <c r="J101" s="414"/>
      <c r="K101" s="413" t="s">
        <v>1826</v>
      </c>
      <c r="L101" s="414">
        <v>5</v>
      </c>
      <c r="M101" s="414"/>
      <c r="N101" s="414"/>
      <c r="O101" s="386">
        <f t="shared" si="2"/>
        <v>1</v>
      </c>
      <c r="P101" s="414">
        <v>0</v>
      </c>
      <c r="Q101" s="414">
        <v>0</v>
      </c>
      <c r="R101" s="414">
        <v>1</v>
      </c>
      <c r="S101" s="414">
        <v>1</v>
      </c>
      <c r="T101" s="414">
        <v>1</v>
      </c>
      <c r="U101" s="414"/>
      <c r="V101" s="414">
        <v>0</v>
      </c>
      <c r="W101" s="414">
        <v>0</v>
      </c>
      <c r="X101" s="414">
        <v>0</v>
      </c>
      <c r="Y101" s="414">
        <v>0</v>
      </c>
      <c r="Z101" s="414"/>
    </row>
    <row r="102" spans="2:26" s="413" customFormat="1" ht="11.25" customHeight="1" x14ac:dyDescent="0.25">
      <c r="B102" s="431">
        <v>99</v>
      </c>
      <c r="C102" s="437" t="s">
        <v>1032</v>
      </c>
      <c r="D102" s="438" t="s">
        <v>68</v>
      </c>
      <c r="E102" s="431" t="s">
        <v>1851</v>
      </c>
      <c r="F102" s="448">
        <f>'MT-ETUS'!M297</f>
        <v>0</v>
      </c>
      <c r="G102" s="439"/>
      <c r="H102" s="439"/>
      <c r="I102" s="440"/>
      <c r="J102" s="414"/>
      <c r="K102" s="413" t="s">
        <v>1790</v>
      </c>
      <c r="L102" s="414">
        <v>5</v>
      </c>
      <c r="M102" s="414"/>
      <c r="N102" s="414">
        <v>1</v>
      </c>
      <c r="O102" s="386">
        <f t="shared" si="2"/>
        <v>1</v>
      </c>
      <c r="P102" s="414">
        <v>0</v>
      </c>
      <c r="Q102" s="414">
        <v>0</v>
      </c>
      <c r="R102" s="414">
        <v>0</v>
      </c>
      <c r="S102" s="414">
        <v>1</v>
      </c>
      <c r="T102" s="414">
        <v>1</v>
      </c>
      <c r="U102" s="414"/>
      <c r="V102" s="414">
        <v>0</v>
      </c>
      <c r="W102" s="414">
        <v>0</v>
      </c>
      <c r="X102" s="414">
        <v>0</v>
      </c>
      <c r="Y102" s="414">
        <v>0</v>
      </c>
      <c r="Z102" s="414"/>
    </row>
    <row r="103" spans="2:26" s="413" customFormat="1" ht="11.25" customHeight="1" x14ac:dyDescent="0.25">
      <c r="B103" s="431">
        <v>100</v>
      </c>
      <c r="C103" s="437" t="s">
        <v>1032</v>
      </c>
      <c r="D103" s="438" t="s">
        <v>181</v>
      </c>
      <c r="E103" s="431" t="s">
        <v>1035</v>
      </c>
      <c r="F103" s="448">
        <f>'MT-ETUS'!M298</f>
        <v>0</v>
      </c>
      <c r="G103" s="439"/>
      <c r="H103" s="439"/>
      <c r="I103" s="440"/>
      <c r="J103" s="414"/>
      <c r="K103" s="413" t="s">
        <v>1790</v>
      </c>
      <c r="L103" s="414">
        <v>5</v>
      </c>
      <c r="M103" s="414"/>
      <c r="N103" s="414"/>
      <c r="O103" s="386">
        <f t="shared" si="2"/>
        <v>1</v>
      </c>
      <c r="P103" s="414">
        <v>0</v>
      </c>
      <c r="Q103" s="414">
        <v>0</v>
      </c>
      <c r="R103" s="414">
        <v>0</v>
      </c>
      <c r="S103" s="414">
        <v>1</v>
      </c>
      <c r="T103" s="414">
        <v>1</v>
      </c>
      <c r="U103" s="414"/>
      <c r="V103" s="414">
        <v>0</v>
      </c>
      <c r="W103" s="414">
        <v>0</v>
      </c>
      <c r="X103" s="414">
        <v>0</v>
      </c>
      <c r="Y103" s="414">
        <v>0</v>
      </c>
      <c r="Z103" s="414"/>
    </row>
    <row r="104" spans="2:26" s="413" customFormat="1" ht="11.25" customHeight="1" x14ac:dyDescent="0.25">
      <c r="B104" s="431">
        <v>101</v>
      </c>
      <c r="C104" s="437" t="s">
        <v>1036</v>
      </c>
      <c r="D104" s="438" t="s">
        <v>1037</v>
      </c>
      <c r="E104" s="431" t="s">
        <v>42</v>
      </c>
      <c r="F104" s="512" t="s">
        <v>1789</v>
      </c>
      <c r="G104" s="439"/>
      <c r="H104" s="439"/>
      <c r="I104" s="440"/>
      <c r="J104" s="414"/>
      <c r="K104" s="413" t="s">
        <v>1847</v>
      </c>
      <c r="L104" s="414">
        <v>4</v>
      </c>
      <c r="M104" s="414"/>
      <c r="N104" s="414">
        <v>1</v>
      </c>
      <c r="O104" s="386">
        <f t="shared" si="2"/>
        <v>1</v>
      </c>
      <c r="P104" s="414">
        <v>0</v>
      </c>
      <c r="Q104" s="414">
        <v>0</v>
      </c>
      <c r="R104" s="414">
        <v>0</v>
      </c>
      <c r="S104" s="414">
        <v>0</v>
      </c>
      <c r="T104" s="414">
        <v>1</v>
      </c>
      <c r="U104" s="414"/>
      <c r="V104" s="414">
        <v>0</v>
      </c>
      <c r="W104" s="414">
        <v>0</v>
      </c>
      <c r="X104" s="414">
        <v>0</v>
      </c>
      <c r="Y104" s="414">
        <v>0</v>
      </c>
      <c r="Z104" s="414"/>
    </row>
    <row r="105" spans="2:26" s="413" customFormat="1" ht="11.25" customHeight="1" x14ac:dyDescent="0.25">
      <c r="B105" s="431">
        <v>102</v>
      </c>
      <c r="C105" s="437" t="s">
        <v>1038</v>
      </c>
      <c r="D105" s="438" t="s">
        <v>1039</v>
      </c>
      <c r="E105" s="431" t="s">
        <v>42</v>
      </c>
      <c r="F105" s="512" t="s">
        <v>1789</v>
      </c>
      <c r="G105" s="439"/>
      <c r="H105" s="439"/>
      <c r="I105" s="440"/>
      <c r="J105" s="414"/>
      <c r="K105" s="413" t="s">
        <v>1848</v>
      </c>
      <c r="L105" s="414">
        <v>4</v>
      </c>
      <c r="M105" s="414"/>
      <c r="N105" s="414">
        <v>1</v>
      </c>
      <c r="O105" s="386">
        <f t="shared" si="2"/>
        <v>1</v>
      </c>
      <c r="P105" s="414">
        <v>0</v>
      </c>
      <c r="Q105" s="414">
        <v>0</v>
      </c>
      <c r="R105" s="414">
        <v>0</v>
      </c>
      <c r="S105" s="414">
        <v>0</v>
      </c>
      <c r="T105" s="414">
        <v>1</v>
      </c>
      <c r="U105" s="414"/>
      <c r="V105" s="414">
        <v>0</v>
      </c>
      <c r="W105" s="414">
        <v>0</v>
      </c>
      <c r="X105" s="414">
        <v>0</v>
      </c>
      <c r="Y105" s="414">
        <v>0</v>
      </c>
      <c r="Z105" s="414"/>
    </row>
    <row r="106" spans="2:26" s="413" customFormat="1" ht="11.25" customHeight="1" x14ac:dyDescent="0.25">
      <c r="B106" s="431">
        <v>103</v>
      </c>
      <c r="C106" s="437" t="s">
        <v>1040</v>
      </c>
      <c r="D106" s="438" t="s">
        <v>1041</v>
      </c>
      <c r="E106" s="431" t="s">
        <v>1042</v>
      </c>
      <c r="F106" s="448">
        <f>'MT-ETUS'!M283</f>
        <v>0</v>
      </c>
      <c r="G106" s="439"/>
      <c r="H106" s="439"/>
      <c r="I106" s="440"/>
      <c r="J106" s="414"/>
      <c r="K106" s="413" t="s">
        <v>1043</v>
      </c>
      <c r="L106" s="414">
        <v>5</v>
      </c>
      <c r="M106" s="414"/>
      <c r="N106" s="414"/>
      <c r="O106" s="386">
        <f t="shared" si="2"/>
        <v>1</v>
      </c>
      <c r="P106" s="414">
        <v>0</v>
      </c>
      <c r="Q106" s="414">
        <v>0</v>
      </c>
      <c r="R106" s="414">
        <v>1</v>
      </c>
      <c r="S106" s="414">
        <v>1</v>
      </c>
      <c r="T106" s="414">
        <v>1</v>
      </c>
      <c r="U106" s="414"/>
      <c r="V106" s="414">
        <v>0</v>
      </c>
      <c r="W106" s="414">
        <v>0</v>
      </c>
      <c r="X106" s="414">
        <v>0</v>
      </c>
      <c r="Y106" s="414">
        <v>0</v>
      </c>
      <c r="Z106" s="414"/>
    </row>
    <row r="107" spans="2:26" s="413" customFormat="1" ht="11.25" customHeight="1" x14ac:dyDescent="0.25">
      <c r="B107" s="431">
        <v>104</v>
      </c>
      <c r="C107" s="437" t="s">
        <v>1040</v>
      </c>
      <c r="D107" s="438" t="s">
        <v>1044</v>
      </c>
      <c r="E107" s="431" t="s">
        <v>1045</v>
      </c>
      <c r="F107" s="448">
        <f>'MT-ETUS'!M284</f>
        <v>0</v>
      </c>
      <c r="G107" s="439"/>
      <c r="H107" s="439"/>
      <c r="I107" s="440"/>
      <c r="J107" s="414"/>
      <c r="K107" s="413" t="s">
        <v>1046</v>
      </c>
      <c r="L107" s="414">
        <v>5</v>
      </c>
      <c r="M107" s="414"/>
      <c r="N107" s="414"/>
      <c r="O107" s="386">
        <f t="shared" si="2"/>
        <v>1</v>
      </c>
      <c r="P107" s="414">
        <v>0</v>
      </c>
      <c r="Q107" s="414">
        <v>0</v>
      </c>
      <c r="R107" s="414">
        <v>1</v>
      </c>
      <c r="S107" s="414">
        <v>1</v>
      </c>
      <c r="T107" s="414">
        <v>1</v>
      </c>
      <c r="U107" s="414"/>
      <c r="V107" s="414">
        <v>0</v>
      </c>
      <c r="W107" s="414">
        <v>0</v>
      </c>
      <c r="X107" s="414">
        <v>0</v>
      </c>
      <c r="Y107" s="414">
        <v>0</v>
      </c>
      <c r="Z107" s="414"/>
    </row>
    <row r="108" spans="2:26" s="413" customFormat="1" ht="11.25" customHeight="1" x14ac:dyDescent="0.25">
      <c r="B108" s="431">
        <v>105</v>
      </c>
      <c r="C108" s="438" t="s">
        <v>238</v>
      </c>
      <c r="D108" s="438" t="s">
        <v>116</v>
      </c>
      <c r="E108" s="431" t="s">
        <v>1047</v>
      </c>
      <c r="F108" s="448" t="str">
        <f>'MT-ETUS'!M285</f>
        <v>-</v>
      </c>
      <c r="G108" s="439"/>
      <c r="H108" s="439"/>
      <c r="I108" s="440"/>
      <c r="J108" s="414"/>
      <c r="K108" s="413" t="s">
        <v>1827</v>
      </c>
      <c r="L108" s="414">
        <v>5</v>
      </c>
      <c r="M108" s="414"/>
      <c r="N108" s="414"/>
      <c r="O108" s="386">
        <f t="shared" si="2"/>
        <v>1</v>
      </c>
      <c r="P108" s="414">
        <v>0</v>
      </c>
      <c r="Q108" s="414">
        <v>0</v>
      </c>
      <c r="R108" s="414">
        <v>1</v>
      </c>
      <c r="S108" s="414">
        <v>1</v>
      </c>
      <c r="T108" s="414">
        <v>1</v>
      </c>
      <c r="U108" s="414"/>
      <c r="V108" s="414">
        <v>0</v>
      </c>
      <c r="W108" s="414">
        <v>0</v>
      </c>
      <c r="X108" s="414">
        <v>0</v>
      </c>
      <c r="Y108" s="414">
        <v>0</v>
      </c>
      <c r="Z108" s="414"/>
    </row>
    <row r="109" spans="2:26" s="413" customFormat="1" ht="11.25" customHeight="1" x14ac:dyDescent="0.25">
      <c r="B109" s="431">
        <v>106</v>
      </c>
      <c r="C109" s="437" t="s">
        <v>1048</v>
      </c>
      <c r="D109" s="438" t="s">
        <v>179</v>
      </c>
      <c r="E109" s="431" t="s">
        <v>1049</v>
      </c>
      <c r="F109" s="452" t="e">
        <f>'MT-ETUS'!M293</f>
        <v>#DIV/0!</v>
      </c>
      <c r="G109" s="453"/>
      <c r="H109" s="453"/>
      <c r="I109" s="454"/>
      <c r="J109" s="414"/>
      <c r="L109" s="414">
        <v>5</v>
      </c>
      <c r="M109" s="414"/>
      <c r="N109" s="414"/>
      <c r="O109" s="386">
        <f t="shared" si="2"/>
        <v>1</v>
      </c>
      <c r="P109" s="414">
        <v>0</v>
      </c>
      <c r="Q109" s="414">
        <v>0</v>
      </c>
      <c r="R109" s="414">
        <v>1</v>
      </c>
      <c r="S109" s="414">
        <v>1</v>
      </c>
      <c r="T109" s="414">
        <v>1</v>
      </c>
      <c r="U109" s="414"/>
      <c r="V109" s="414">
        <v>0</v>
      </c>
      <c r="W109" s="414">
        <v>0</v>
      </c>
      <c r="X109" s="414">
        <v>0</v>
      </c>
      <c r="Y109" s="414">
        <v>0</v>
      </c>
      <c r="Z109" s="414"/>
    </row>
    <row r="110" spans="2:26" s="413" customFormat="1" ht="11.25" customHeight="1" x14ac:dyDescent="0.25">
      <c r="B110" s="431">
        <v>107</v>
      </c>
      <c r="C110" s="437" t="s">
        <v>1048</v>
      </c>
      <c r="D110" s="438" t="s">
        <v>178</v>
      </c>
      <c r="E110" s="431" t="s">
        <v>1050</v>
      </c>
      <c r="F110" s="455">
        <f>'MT-ETUS'!M291</f>
        <v>0</v>
      </c>
      <c r="G110" s="453"/>
      <c r="H110" s="453"/>
      <c r="I110" s="454"/>
      <c r="J110" s="414"/>
      <c r="L110" s="414">
        <v>5</v>
      </c>
      <c r="M110" s="414"/>
      <c r="N110" s="414"/>
      <c r="O110" s="386">
        <f t="shared" si="2"/>
        <v>1</v>
      </c>
      <c r="P110" s="414">
        <v>0</v>
      </c>
      <c r="Q110" s="414">
        <v>0</v>
      </c>
      <c r="R110" s="414">
        <v>1</v>
      </c>
      <c r="S110" s="414">
        <v>1</v>
      </c>
      <c r="T110" s="414">
        <v>1</v>
      </c>
      <c r="U110" s="414"/>
      <c r="V110" s="414">
        <v>0</v>
      </c>
      <c r="W110" s="414">
        <v>0</v>
      </c>
      <c r="X110" s="414">
        <v>0</v>
      </c>
      <c r="Y110" s="414">
        <v>0</v>
      </c>
      <c r="Z110" s="414"/>
    </row>
    <row r="111" spans="2:26" s="413" customFormat="1" ht="11.25" customHeight="1" x14ac:dyDescent="0.25">
      <c r="B111" s="431">
        <v>108</v>
      </c>
      <c r="C111" s="437" t="s">
        <v>1051</v>
      </c>
      <c r="D111" s="438" t="s">
        <v>93</v>
      </c>
      <c r="E111" s="431" t="s">
        <v>1052</v>
      </c>
      <c r="F111" s="456" t="e">
        <f>ROUND('MT-ETUS'!M292,1)</f>
        <v>#DIV/0!</v>
      </c>
      <c r="G111" s="453"/>
      <c r="H111" s="453"/>
      <c r="I111" s="454"/>
      <c r="J111" s="414"/>
      <c r="K111" s="413" t="s">
        <v>1053</v>
      </c>
      <c r="L111" s="414">
        <v>5</v>
      </c>
      <c r="M111" s="414"/>
      <c r="N111" s="414"/>
      <c r="O111" s="386">
        <f t="shared" si="2"/>
        <v>1</v>
      </c>
      <c r="P111" s="414">
        <v>0</v>
      </c>
      <c r="Q111" s="414">
        <v>0</v>
      </c>
      <c r="R111" s="414">
        <v>1</v>
      </c>
      <c r="S111" s="414">
        <v>1</v>
      </c>
      <c r="T111" s="414">
        <v>1</v>
      </c>
      <c r="U111" s="414"/>
      <c r="V111" s="414">
        <v>0</v>
      </c>
      <c r="W111" s="414">
        <v>0</v>
      </c>
      <c r="X111" s="414">
        <v>0</v>
      </c>
      <c r="Y111" s="414">
        <v>0</v>
      </c>
      <c r="Z111" s="414"/>
    </row>
    <row r="112" spans="2:26" s="413" customFormat="1" ht="11.25" customHeight="1" x14ac:dyDescent="0.25">
      <c r="B112" s="431">
        <v>109</v>
      </c>
      <c r="C112" s="437" t="s">
        <v>1054</v>
      </c>
      <c r="D112" s="438" t="s">
        <v>1825</v>
      </c>
      <c r="E112" s="431" t="s">
        <v>1052</v>
      </c>
      <c r="F112" s="438" t="e">
        <f>'MT-ETUS'!P292</f>
        <v>#DIV/0!</v>
      </c>
      <c r="G112" s="439"/>
      <c r="H112" s="439"/>
      <c r="I112" s="440"/>
      <c r="J112" s="414"/>
      <c r="K112" s="413" t="s">
        <v>1055</v>
      </c>
      <c r="L112" s="414">
        <v>5</v>
      </c>
      <c r="M112" s="414"/>
      <c r="N112" s="414"/>
      <c r="O112" s="386">
        <f t="shared" si="2"/>
        <v>1</v>
      </c>
      <c r="P112" s="414">
        <v>0</v>
      </c>
      <c r="Q112" s="414">
        <v>0</v>
      </c>
      <c r="R112" s="414">
        <v>1</v>
      </c>
      <c r="S112" s="414">
        <v>1</v>
      </c>
      <c r="T112" s="414">
        <v>1</v>
      </c>
      <c r="U112" s="414"/>
      <c r="V112" s="414">
        <v>0</v>
      </c>
      <c r="W112" s="414">
        <v>0</v>
      </c>
      <c r="X112" s="414">
        <v>0</v>
      </c>
      <c r="Y112" s="414">
        <v>0</v>
      </c>
      <c r="Z112" s="414"/>
    </row>
    <row r="113" spans="2:26" s="413" customFormat="1" ht="11.25" customHeight="1" x14ac:dyDescent="0.25">
      <c r="B113" s="431">
        <v>110</v>
      </c>
      <c r="C113" s="437" t="s">
        <v>1056</v>
      </c>
      <c r="D113" s="438" t="s">
        <v>174</v>
      </c>
      <c r="E113" s="431" t="s">
        <v>1057</v>
      </c>
      <c r="F113" s="448">
        <f>ROUND('MT-ETUS'!M286,1)</f>
        <v>0</v>
      </c>
      <c r="G113" s="439"/>
      <c r="H113" s="439"/>
      <c r="I113" s="440"/>
      <c r="J113" s="414"/>
      <c r="K113" s="413" t="s">
        <v>1058</v>
      </c>
      <c r="L113" s="414">
        <v>5</v>
      </c>
      <c r="M113" s="414"/>
      <c r="N113" s="414"/>
      <c r="O113" s="386">
        <f t="shared" si="2"/>
        <v>1</v>
      </c>
      <c r="P113" s="414">
        <v>0</v>
      </c>
      <c r="Q113" s="414">
        <v>0</v>
      </c>
      <c r="R113" s="414">
        <v>1</v>
      </c>
      <c r="S113" s="414">
        <v>1</v>
      </c>
      <c r="T113" s="414">
        <v>1</v>
      </c>
      <c r="U113" s="414"/>
      <c r="V113" s="414">
        <v>0</v>
      </c>
      <c r="W113" s="414">
        <v>0</v>
      </c>
      <c r="X113" s="414">
        <v>0</v>
      </c>
      <c r="Y113" s="414">
        <v>0</v>
      </c>
      <c r="Z113" s="414"/>
    </row>
    <row r="114" spans="2:26" s="413" customFormat="1" ht="11.25" customHeight="1" x14ac:dyDescent="0.25">
      <c r="B114" s="431">
        <v>111</v>
      </c>
      <c r="C114" s="437" t="s">
        <v>1059</v>
      </c>
      <c r="D114" s="438" t="s">
        <v>176</v>
      </c>
      <c r="E114" s="431" t="s">
        <v>1060</v>
      </c>
      <c r="F114" s="448">
        <f>ROUND('MT-ETUS'!M289,1)</f>
        <v>0</v>
      </c>
      <c r="G114" s="439"/>
      <c r="H114" s="439"/>
      <c r="I114" s="440"/>
      <c r="J114" s="414"/>
      <c r="L114" s="414">
        <v>5</v>
      </c>
      <c r="M114" s="414"/>
      <c r="N114" s="414"/>
      <c r="O114" s="386">
        <f t="shared" si="2"/>
        <v>1</v>
      </c>
      <c r="P114" s="414">
        <v>0</v>
      </c>
      <c r="Q114" s="414">
        <v>0</v>
      </c>
      <c r="R114" s="414">
        <v>1</v>
      </c>
      <c r="S114" s="414">
        <v>1</v>
      </c>
      <c r="T114" s="414">
        <v>1</v>
      </c>
      <c r="U114" s="414"/>
      <c r="V114" s="414">
        <v>0</v>
      </c>
      <c r="W114" s="414">
        <v>0</v>
      </c>
      <c r="X114" s="414">
        <v>0</v>
      </c>
      <c r="Y114" s="414">
        <v>0</v>
      </c>
      <c r="Z114" s="414"/>
    </row>
    <row r="115" spans="2:26" s="413" customFormat="1" ht="11.25" customHeight="1" x14ac:dyDescent="0.25">
      <c r="B115" s="431">
        <v>112</v>
      </c>
      <c r="C115" s="437" t="s">
        <v>1061</v>
      </c>
      <c r="D115" s="438" t="s">
        <v>175</v>
      </c>
      <c r="E115" s="431" t="s">
        <v>1062</v>
      </c>
      <c r="F115" s="448">
        <f>'MT-ETUS'!M287</f>
        <v>0</v>
      </c>
      <c r="G115" s="439"/>
      <c r="H115" s="439"/>
      <c r="I115" s="440"/>
      <c r="J115" s="414"/>
      <c r="L115" s="414">
        <v>5</v>
      </c>
      <c r="M115" s="414"/>
      <c r="N115" s="414"/>
      <c r="O115" s="386">
        <f t="shared" si="2"/>
        <v>1</v>
      </c>
      <c r="P115" s="414">
        <v>0</v>
      </c>
      <c r="Q115" s="414">
        <v>0</v>
      </c>
      <c r="R115" s="414">
        <v>1</v>
      </c>
      <c r="S115" s="414">
        <v>1</v>
      </c>
      <c r="T115" s="414">
        <v>1</v>
      </c>
      <c r="U115" s="414"/>
      <c r="V115" s="414">
        <v>0</v>
      </c>
      <c r="W115" s="414">
        <v>0</v>
      </c>
      <c r="X115" s="414">
        <v>0</v>
      </c>
      <c r="Y115" s="414">
        <v>0</v>
      </c>
      <c r="Z115" s="414"/>
    </row>
    <row r="116" spans="2:26" s="413" customFormat="1" ht="11.25" customHeight="1" x14ac:dyDescent="0.25">
      <c r="B116" s="431">
        <v>113</v>
      </c>
      <c r="C116" s="437" t="s">
        <v>1063</v>
      </c>
      <c r="D116" s="438" t="s">
        <v>117</v>
      </c>
      <c r="E116" s="431" t="s">
        <v>1064</v>
      </c>
      <c r="F116" s="448">
        <f>'MT-ETUS'!M288</f>
        <v>0</v>
      </c>
      <c r="G116" s="439"/>
      <c r="H116" s="439"/>
      <c r="I116" s="440"/>
      <c r="J116" s="414"/>
      <c r="L116" s="414">
        <v>5</v>
      </c>
      <c r="M116" s="414"/>
      <c r="N116" s="414"/>
      <c r="O116" s="386">
        <f t="shared" si="2"/>
        <v>1</v>
      </c>
      <c r="P116" s="414">
        <v>0</v>
      </c>
      <c r="Q116" s="414">
        <v>0</v>
      </c>
      <c r="R116" s="414">
        <v>1</v>
      </c>
      <c r="S116" s="414">
        <v>1</v>
      </c>
      <c r="T116" s="414">
        <v>1</v>
      </c>
      <c r="U116" s="414"/>
      <c r="V116" s="414">
        <v>0</v>
      </c>
      <c r="W116" s="414">
        <v>0</v>
      </c>
      <c r="X116" s="414">
        <v>0</v>
      </c>
      <c r="Y116" s="414">
        <v>0</v>
      </c>
      <c r="Z116" s="414"/>
    </row>
    <row r="117" spans="2:26" s="413" customFormat="1" ht="11.25" customHeight="1" x14ac:dyDescent="0.25">
      <c r="B117" s="431">
        <v>114</v>
      </c>
      <c r="C117" s="437" t="s">
        <v>1065</v>
      </c>
      <c r="D117" s="438" t="s">
        <v>177</v>
      </c>
      <c r="E117" s="431" t="s">
        <v>1066</v>
      </c>
      <c r="F117" s="448">
        <f>'MT-ETUS'!M290</f>
        <v>0</v>
      </c>
      <c r="G117" s="439"/>
      <c r="H117" s="439"/>
      <c r="I117" s="440"/>
      <c r="J117" s="414"/>
      <c r="L117" s="414">
        <v>5</v>
      </c>
      <c r="M117" s="414"/>
      <c r="N117" s="414"/>
      <c r="O117" s="386">
        <f t="shared" si="2"/>
        <v>1</v>
      </c>
      <c r="P117" s="414">
        <v>0</v>
      </c>
      <c r="Q117" s="414">
        <v>0</v>
      </c>
      <c r="R117" s="414">
        <v>1</v>
      </c>
      <c r="S117" s="414">
        <v>1</v>
      </c>
      <c r="T117" s="414">
        <v>1</v>
      </c>
      <c r="U117" s="414"/>
      <c r="V117" s="414">
        <v>0</v>
      </c>
      <c r="W117" s="414">
        <v>0</v>
      </c>
      <c r="X117" s="414">
        <v>0</v>
      </c>
      <c r="Y117" s="414">
        <v>0</v>
      </c>
      <c r="Z117" s="414"/>
    </row>
    <row r="118" spans="2:26" s="413" customFormat="1" ht="11.25" customHeight="1" x14ac:dyDescent="0.25">
      <c r="B118" s="431">
        <v>115</v>
      </c>
      <c r="C118" s="437" t="s">
        <v>1067</v>
      </c>
      <c r="D118" s="438" t="s">
        <v>1068</v>
      </c>
      <c r="E118" s="431" t="s">
        <v>1852</v>
      </c>
      <c r="F118" s="448">
        <f>'MT-ETUS'!M299</f>
        <v>0</v>
      </c>
      <c r="G118" s="439"/>
      <c r="H118" s="439"/>
      <c r="I118" s="440"/>
      <c r="J118" s="414"/>
      <c r="L118" s="414">
        <v>5</v>
      </c>
      <c r="M118" s="414"/>
      <c r="N118" s="414">
        <v>1</v>
      </c>
      <c r="O118" s="386">
        <f t="shared" si="2"/>
        <v>1</v>
      </c>
      <c r="P118" s="414">
        <v>0</v>
      </c>
      <c r="Q118" s="414">
        <v>0</v>
      </c>
      <c r="R118" s="414">
        <v>0</v>
      </c>
      <c r="S118" s="414">
        <v>1</v>
      </c>
      <c r="T118" s="414">
        <v>1</v>
      </c>
      <c r="U118" s="414"/>
      <c r="V118" s="414">
        <v>0</v>
      </c>
      <c r="W118" s="414">
        <v>0</v>
      </c>
      <c r="X118" s="414">
        <v>0</v>
      </c>
      <c r="Y118" s="414">
        <v>0</v>
      </c>
      <c r="Z118" s="414"/>
    </row>
    <row r="119" spans="2:26" s="413" customFormat="1" ht="11.25" customHeight="1" x14ac:dyDescent="0.25">
      <c r="B119" s="431">
        <v>116</v>
      </c>
      <c r="C119" s="437"/>
      <c r="D119" s="433" t="s">
        <v>1070</v>
      </c>
      <c r="E119" s="431"/>
      <c r="F119" s="437"/>
      <c r="G119" s="439"/>
      <c r="H119" s="439"/>
      <c r="I119" s="440"/>
      <c r="J119" s="414"/>
      <c r="L119" s="414">
        <v>0</v>
      </c>
      <c r="M119" s="414"/>
      <c r="N119" s="414"/>
      <c r="O119" s="386" t="str">
        <f t="shared" si="2"/>
        <v>x</v>
      </c>
      <c r="P119" s="414" t="s">
        <v>2</v>
      </c>
      <c r="Q119" s="414" t="s">
        <v>2</v>
      </c>
      <c r="R119" s="414" t="s">
        <v>2</v>
      </c>
      <c r="S119" s="414" t="s">
        <v>2</v>
      </c>
      <c r="T119" s="414" t="s">
        <v>2</v>
      </c>
      <c r="U119" s="414"/>
      <c r="V119" s="414" t="s">
        <v>2</v>
      </c>
      <c r="W119" s="414" t="s">
        <v>2</v>
      </c>
      <c r="X119" s="414" t="s">
        <v>2</v>
      </c>
      <c r="Y119" s="414" t="s">
        <v>2</v>
      </c>
      <c r="Z119" s="414"/>
    </row>
    <row r="120" spans="2:26" s="413" customFormat="1" ht="11.25" customHeight="1" x14ac:dyDescent="0.25">
      <c r="B120" s="431">
        <v>117</v>
      </c>
      <c r="C120" s="437" t="s">
        <v>1032</v>
      </c>
      <c r="D120" s="438" t="s">
        <v>180</v>
      </c>
      <c r="E120" s="431" t="s">
        <v>1853</v>
      </c>
      <c r="F120" s="448">
        <f>'MT-ETUS'!R294</f>
        <v>0</v>
      </c>
      <c r="G120" s="439"/>
      <c r="H120" s="439"/>
      <c r="I120" s="440"/>
      <c r="J120" s="414"/>
      <c r="L120" s="414">
        <v>4</v>
      </c>
      <c r="M120" s="414"/>
      <c r="N120" s="414">
        <v>1</v>
      </c>
      <c r="O120" s="386">
        <f t="shared" si="2"/>
        <v>1</v>
      </c>
      <c r="P120" s="414">
        <v>0</v>
      </c>
      <c r="Q120" s="414">
        <v>0</v>
      </c>
      <c r="R120" s="414">
        <v>1</v>
      </c>
      <c r="S120" s="414">
        <v>1</v>
      </c>
      <c r="T120" s="414">
        <v>1</v>
      </c>
      <c r="U120" s="414"/>
      <c r="V120" s="414">
        <v>0</v>
      </c>
      <c r="W120" s="414">
        <v>0</v>
      </c>
      <c r="X120" s="414">
        <v>0</v>
      </c>
      <c r="Y120" s="414">
        <v>0</v>
      </c>
      <c r="Z120" s="414"/>
    </row>
    <row r="121" spans="2:26" s="413" customFormat="1" ht="11.25" customHeight="1" x14ac:dyDescent="0.25">
      <c r="B121" s="431">
        <v>118</v>
      </c>
      <c r="C121" s="437" t="s">
        <v>1032</v>
      </c>
      <c r="D121" s="438" t="s">
        <v>1033</v>
      </c>
      <c r="E121" s="431" t="s">
        <v>1854</v>
      </c>
      <c r="F121" s="448">
        <f>'MT-ETUS'!R295</f>
        <v>0</v>
      </c>
      <c r="G121" s="439"/>
      <c r="H121" s="439"/>
      <c r="I121" s="440"/>
      <c r="J121" s="414"/>
      <c r="L121" s="414">
        <v>4</v>
      </c>
      <c r="M121" s="414"/>
      <c r="N121" s="414">
        <v>1</v>
      </c>
      <c r="O121" s="386">
        <f t="shared" si="2"/>
        <v>1</v>
      </c>
      <c r="P121" s="414">
        <v>0</v>
      </c>
      <c r="Q121" s="414">
        <v>0</v>
      </c>
      <c r="R121" s="414">
        <v>1</v>
      </c>
      <c r="S121" s="414">
        <v>1</v>
      </c>
      <c r="T121" s="414">
        <v>1</v>
      </c>
      <c r="U121" s="414"/>
      <c r="V121" s="414">
        <v>0</v>
      </c>
      <c r="W121" s="414">
        <v>0</v>
      </c>
      <c r="X121" s="414">
        <v>0</v>
      </c>
      <c r="Y121" s="414">
        <v>0</v>
      </c>
      <c r="Z121" s="414"/>
    </row>
    <row r="122" spans="2:26" s="413" customFormat="1" ht="11.25" customHeight="1" x14ac:dyDescent="0.25">
      <c r="B122" s="431">
        <v>119</v>
      </c>
      <c r="C122" s="437" t="s">
        <v>1032</v>
      </c>
      <c r="D122" s="438" t="s">
        <v>183</v>
      </c>
      <c r="E122" s="431" t="s">
        <v>1034</v>
      </c>
      <c r="F122" s="448">
        <f>'MT-ETUS'!R296</f>
        <v>0</v>
      </c>
      <c r="G122" s="439"/>
      <c r="H122" s="439"/>
      <c r="I122" s="440"/>
      <c r="J122" s="414"/>
      <c r="L122" s="414">
        <v>4</v>
      </c>
      <c r="M122" s="414"/>
      <c r="N122" s="414"/>
      <c r="O122" s="386">
        <f t="shared" si="2"/>
        <v>1</v>
      </c>
      <c r="P122" s="414">
        <v>0</v>
      </c>
      <c r="Q122" s="414">
        <v>0</v>
      </c>
      <c r="R122" s="414">
        <v>1</v>
      </c>
      <c r="S122" s="414">
        <v>1</v>
      </c>
      <c r="T122" s="414">
        <v>1</v>
      </c>
      <c r="U122" s="414"/>
      <c r="V122" s="414">
        <v>0</v>
      </c>
      <c r="W122" s="414">
        <v>0</v>
      </c>
      <c r="X122" s="414">
        <v>0</v>
      </c>
      <c r="Y122" s="414">
        <v>0</v>
      </c>
      <c r="Z122" s="414"/>
    </row>
    <row r="123" spans="2:26" s="413" customFormat="1" ht="11.25" customHeight="1" x14ac:dyDescent="0.25">
      <c r="B123" s="431">
        <v>120</v>
      </c>
      <c r="C123" s="437" t="s">
        <v>1032</v>
      </c>
      <c r="D123" s="438" t="s">
        <v>68</v>
      </c>
      <c r="E123" s="431" t="s">
        <v>1855</v>
      </c>
      <c r="F123" s="448">
        <f>'MT-ETUS'!R297</f>
        <v>0</v>
      </c>
      <c r="G123" s="439"/>
      <c r="H123" s="439"/>
      <c r="I123" s="440"/>
      <c r="J123" s="414"/>
      <c r="K123" s="413" t="s">
        <v>1790</v>
      </c>
      <c r="L123" s="414">
        <v>4</v>
      </c>
      <c r="M123" s="414"/>
      <c r="N123" s="414">
        <v>1</v>
      </c>
      <c r="O123" s="386">
        <f t="shared" si="2"/>
        <v>1</v>
      </c>
      <c r="P123" s="414">
        <v>0</v>
      </c>
      <c r="Q123" s="414">
        <v>0</v>
      </c>
      <c r="R123" s="414">
        <v>0</v>
      </c>
      <c r="S123" s="414">
        <v>1</v>
      </c>
      <c r="T123" s="414">
        <v>1</v>
      </c>
      <c r="U123" s="414"/>
      <c r="V123" s="414">
        <v>0</v>
      </c>
      <c r="W123" s="414">
        <v>0</v>
      </c>
      <c r="X123" s="414">
        <v>0</v>
      </c>
      <c r="Y123" s="414">
        <v>0</v>
      </c>
      <c r="Z123" s="414"/>
    </row>
    <row r="124" spans="2:26" s="413" customFormat="1" ht="11.25" customHeight="1" x14ac:dyDescent="0.25">
      <c r="B124" s="431">
        <v>121</v>
      </c>
      <c r="C124" s="437" t="s">
        <v>1032</v>
      </c>
      <c r="D124" s="438" t="s">
        <v>181</v>
      </c>
      <c r="E124" s="431" t="s">
        <v>1035</v>
      </c>
      <c r="F124" s="448">
        <f>'MT-ETUS'!R298</f>
        <v>0</v>
      </c>
      <c r="G124" s="439"/>
      <c r="H124" s="439"/>
      <c r="I124" s="440"/>
      <c r="J124" s="414"/>
      <c r="L124" s="414">
        <v>4</v>
      </c>
      <c r="M124" s="414"/>
      <c r="N124" s="414"/>
      <c r="O124" s="386">
        <f t="shared" si="2"/>
        <v>1</v>
      </c>
      <c r="P124" s="414">
        <v>0</v>
      </c>
      <c r="Q124" s="414">
        <v>0</v>
      </c>
      <c r="R124" s="414">
        <v>0</v>
      </c>
      <c r="S124" s="414">
        <v>1</v>
      </c>
      <c r="T124" s="414">
        <v>1</v>
      </c>
      <c r="U124" s="414"/>
      <c r="V124" s="414">
        <v>0</v>
      </c>
      <c r="W124" s="414">
        <v>0</v>
      </c>
      <c r="X124" s="414">
        <v>0</v>
      </c>
      <c r="Y124" s="414">
        <v>0</v>
      </c>
      <c r="Z124" s="414"/>
    </row>
    <row r="125" spans="2:26" s="413" customFormat="1" ht="11.25" customHeight="1" x14ac:dyDescent="0.25">
      <c r="B125" s="431">
        <v>122</v>
      </c>
      <c r="C125" s="437"/>
      <c r="D125" s="438"/>
      <c r="E125" s="431"/>
      <c r="F125" s="512"/>
      <c r="G125" s="439"/>
      <c r="H125" s="439"/>
      <c r="I125" s="440"/>
      <c r="J125" s="414"/>
      <c r="L125" s="414">
        <v>0</v>
      </c>
      <c r="M125" s="414"/>
      <c r="N125" s="414"/>
      <c r="O125" s="386">
        <f t="shared" si="2"/>
        <v>1</v>
      </c>
      <c r="P125" s="414">
        <v>0</v>
      </c>
      <c r="Q125" s="414">
        <v>0</v>
      </c>
      <c r="R125" s="414">
        <v>0</v>
      </c>
      <c r="S125" s="414">
        <v>1</v>
      </c>
      <c r="T125" s="414">
        <v>1</v>
      </c>
      <c r="U125" s="414"/>
      <c r="V125" s="414">
        <v>0</v>
      </c>
      <c r="W125" s="414">
        <v>0</v>
      </c>
      <c r="X125" s="414">
        <v>0</v>
      </c>
      <c r="Y125" s="414">
        <v>0</v>
      </c>
      <c r="Z125" s="414"/>
    </row>
    <row r="126" spans="2:26" s="413" customFormat="1" ht="11.25" customHeight="1" x14ac:dyDescent="0.25">
      <c r="B126" s="431">
        <v>123</v>
      </c>
      <c r="C126" s="437"/>
      <c r="D126" s="438"/>
      <c r="E126" s="431"/>
      <c r="F126" s="512"/>
      <c r="G126" s="439"/>
      <c r="H126" s="439"/>
      <c r="I126" s="440"/>
      <c r="J126" s="414"/>
      <c r="L126" s="414">
        <v>0</v>
      </c>
      <c r="M126" s="414"/>
      <c r="N126" s="414"/>
      <c r="O126" s="386">
        <f t="shared" si="2"/>
        <v>1</v>
      </c>
      <c r="P126" s="414">
        <v>0</v>
      </c>
      <c r="Q126" s="414">
        <v>0</v>
      </c>
      <c r="R126" s="414">
        <v>0</v>
      </c>
      <c r="S126" s="414">
        <v>1</v>
      </c>
      <c r="T126" s="414">
        <v>1</v>
      </c>
      <c r="U126" s="414"/>
      <c r="V126" s="414">
        <v>0</v>
      </c>
      <c r="W126" s="414">
        <v>0</v>
      </c>
      <c r="X126" s="414">
        <v>0</v>
      </c>
      <c r="Y126" s="414">
        <v>0</v>
      </c>
      <c r="Z126" s="414"/>
    </row>
    <row r="127" spans="2:26" s="413" customFormat="1" ht="11.25" customHeight="1" x14ac:dyDescent="0.25">
      <c r="B127" s="431">
        <v>124</v>
      </c>
      <c r="C127" s="437" t="s">
        <v>1040</v>
      </c>
      <c r="D127" s="438" t="s">
        <v>1041</v>
      </c>
      <c r="E127" s="431" t="s">
        <v>1042</v>
      </c>
      <c r="F127" s="448">
        <f>'MT-ETUS'!R283</f>
        <v>0</v>
      </c>
      <c r="G127" s="439"/>
      <c r="H127" s="439"/>
      <c r="I127" s="440"/>
      <c r="J127" s="414"/>
      <c r="K127" s="413" t="s">
        <v>1043</v>
      </c>
      <c r="L127" s="414">
        <v>4</v>
      </c>
      <c r="M127" s="414"/>
      <c r="N127" s="414"/>
      <c r="O127" s="386">
        <f t="shared" si="2"/>
        <v>1</v>
      </c>
      <c r="P127" s="414">
        <v>0</v>
      </c>
      <c r="Q127" s="414">
        <v>0</v>
      </c>
      <c r="R127" s="414">
        <v>1</v>
      </c>
      <c r="S127" s="414">
        <v>1</v>
      </c>
      <c r="T127" s="414">
        <v>1</v>
      </c>
      <c r="U127" s="414"/>
      <c r="V127" s="414">
        <v>0</v>
      </c>
      <c r="W127" s="414">
        <v>0</v>
      </c>
      <c r="X127" s="414">
        <v>0</v>
      </c>
      <c r="Y127" s="414">
        <v>0</v>
      </c>
      <c r="Z127" s="414"/>
    </row>
    <row r="128" spans="2:26" s="413" customFormat="1" ht="11.25" customHeight="1" x14ac:dyDescent="0.25">
      <c r="B128" s="431">
        <v>125</v>
      </c>
      <c r="C128" s="437" t="s">
        <v>1040</v>
      </c>
      <c r="D128" s="438" t="s">
        <v>1044</v>
      </c>
      <c r="E128" s="431" t="s">
        <v>1045</v>
      </c>
      <c r="F128" s="448">
        <f>'MT-ETUS'!R284</f>
        <v>0</v>
      </c>
      <c r="G128" s="439"/>
      <c r="H128" s="439"/>
      <c r="I128" s="440"/>
      <c r="J128" s="414"/>
      <c r="K128" s="413" t="s">
        <v>1046</v>
      </c>
      <c r="L128" s="414">
        <v>4</v>
      </c>
      <c r="M128" s="414"/>
      <c r="N128" s="414"/>
      <c r="O128" s="386">
        <f t="shared" si="2"/>
        <v>1</v>
      </c>
      <c r="P128" s="414">
        <v>0</v>
      </c>
      <c r="Q128" s="414">
        <v>0</v>
      </c>
      <c r="R128" s="414">
        <v>1</v>
      </c>
      <c r="S128" s="414">
        <v>1</v>
      </c>
      <c r="T128" s="414">
        <v>1</v>
      </c>
      <c r="U128" s="414"/>
      <c r="V128" s="414">
        <v>0</v>
      </c>
      <c r="W128" s="414">
        <v>0</v>
      </c>
      <c r="X128" s="414">
        <v>0</v>
      </c>
      <c r="Y128" s="414">
        <v>0</v>
      </c>
      <c r="Z128" s="414"/>
    </row>
    <row r="129" spans="2:26" s="413" customFormat="1" ht="11.25" customHeight="1" x14ac:dyDescent="0.25">
      <c r="B129" s="431">
        <v>126</v>
      </c>
      <c r="C129" s="438" t="s">
        <v>238</v>
      </c>
      <c r="D129" s="438" t="s">
        <v>116</v>
      </c>
      <c r="E129" s="431" t="s">
        <v>1047</v>
      </c>
      <c r="F129" s="448" t="str">
        <f>'MT-ETUS'!R285</f>
        <v>-</v>
      </c>
      <c r="G129" s="439"/>
      <c r="H129" s="439"/>
      <c r="I129" s="440"/>
      <c r="J129" s="414"/>
      <c r="L129" s="414">
        <v>4</v>
      </c>
      <c r="M129" s="414"/>
      <c r="N129" s="414"/>
      <c r="O129" s="386">
        <f t="shared" si="2"/>
        <v>1</v>
      </c>
      <c r="P129" s="414">
        <v>0</v>
      </c>
      <c r="Q129" s="414">
        <v>0</v>
      </c>
      <c r="R129" s="414">
        <v>1</v>
      </c>
      <c r="S129" s="414">
        <v>1</v>
      </c>
      <c r="T129" s="414">
        <v>1</v>
      </c>
      <c r="U129" s="414"/>
      <c r="V129" s="414">
        <v>0</v>
      </c>
      <c r="W129" s="414">
        <v>0</v>
      </c>
      <c r="X129" s="414">
        <v>0</v>
      </c>
      <c r="Y129" s="414">
        <v>0</v>
      </c>
      <c r="Z129" s="414"/>
    </row>
    <row r="130" spans="2:26" s="413" customFormat="1" ht="11.25" customHeight="1" x14ac:dyDescent="0.25">
      <c r="B130" s="431">
        <v>127</v>
      </c>
      <c r="C130" s="437" t="s">
        <v>1048</v>
      </c>
      <c r="D130" s="438" t="s">
        <v>179</v>
      </c>
      <c r="E130" s="431" t="s">
        <v>1049</v>
      </c>
      <c r="F130" s="452" t="e">
        <f>'MT-ETUS'!R293</f>
        <v>#DIV/0!</v>
      </c>
      <c r="G130" s="453"/>
      <c r="H130" s="453"/>
      <c r="I130" s="454"/>
      <c r="J130" s="414"/>
      <c r="L130" s="414">
        <v>4</v>
      </c>
      <c r="M130" s="414"/>
      <c r="N130" s="414"/>
      <c r="O130" s="386">
        <f t="shared" si="2"/>
        <v>1</v>
      </c>
      <c r="P130" s="414">
        <v>0</v>
      </c>
      <c r="Q130" s="414">
        <v>0</v>
      </c>
      <c r="R130" s="414">
        <v>1</v>
      </c>
      <c r="S130" s="414">
        <v>1</v>
      </c>
      <c r="T130" s="414">
        <v>1</v>
      </c>
      <c r="U130" s="414"/>
      <c r="V130" s="414">
        <v>0</v>
      </c>
      <c r="W130" s="414">
        <v>0</v>
      </c>
      <c r="X130" s="414">
        <v>0</v>
      </c>
      <c r="Y130" s="414">
        <v>0</v>
      </c>
      <c r="Z130" s="414"/>
    </row>
    <row r="131" spans="2:26" s="413" customFormat="1" ht="11.25" customHeight="1" x14ac:dyDescent="0.25">
      <c r="B131" s="431">
        <v>128</v>
      </c>
      <c r="C131" s="437" t="s">
        <v>1048</v>
      </c>
      <c r="D131" s="438" t="s">
        <v>178</v>
      </c>
      <c r="E131" s="431" t="s">
        <v>1050</v>
      </c>
      <c r="F131" s="455">
        <f>'MT-ETUS'!R291</f>
        <v>0</v>
      </c>
      <c r="G131" s="453"/>
      <c r="H131" s="453"/>
      <c r="I131" s="454"/>
      <c r="J131" s="414"/>
      <c r="L131" s="414">
        <v>4</v>
      </c>
      <c r="M131" s="414"/>
      <c r="N131" s="414"/>
      <c r="O131" s="386">
        <f t="shared" si="2"/>
        <v>1</v>
      </c>
      <c r="P131" s="414">
        <v>0</v>
      </c>
      <c r="Q131" s="414">
        <v>0</v>
      </c>
      <c r="R131" s="414">
        <v>1</v>
      </c>
      <c r="S131" s="414">
        <v>1</v>
      </c>
      <c r="T131" s="414">
        <v>1</v>
      </c>
      <c r="U131" s="414"/>
      <c r="V131" s="414">
        <v>0</v>
      </c>
      <c r="W131" s="414">
        <v>0</v>
      </c>
      <c r="X131" s="414">
        <v>0</v>
      </c>
      <c r="Y131" s="414">
        <v>0</v>
      </c>
      <c r="Z131" s="414"/>
    </row>
    <row r="132" spans="2:26" s="413" customFormat="1" ht="11.25" customHeight="1" x14ac:dyDescent="0.25">
      <c r="B132" s="431">
        <v>129</v>
      </c>
      <c r="C132" s="437" t="s">
        <v>1051</v>
      </c>
      <c r="D132" s="438" t="s">
        <v>93</v>
      </c>
      <c r="E132" s="431" t="s">
        <v>1052</v>
      </c>
      <c r="F132" s="456" t="e">
        <f>'MT-ETUS'!R292</f>
        <v>#DIV/0!</v>
      </c>
      <c r="G132" s="453"/>
      <c r="H132" s="453"/>
      <c r="I132" s="454"/>
      <c r="J132" s="414"/>
      <c r="K132" s="413" t="s">
        <v>1053</v>
      </c>
      <c r="L132" s="414">
        <v>4</v>
      </c>
      <c r="M132" s="414"/>
      <c r="N132" s="414"/>
      <c r="O132" s="386">
        <f t="shared" ref="O132:O195" si="3">IF(O$3=0,0,IF(O$3=1,P132,IF(O$3=2,Q132,IF(O$3=3,R132,IF(O$3=4,S132,IF(O$3=5,T132,IF(O$3=6,V132,IF(O$3=7,W132,IF(O$3=8,X132,IF(O$3=9,Y132,0))))))))))</f>
        <v>1</v>
      </c>
      <c r="P132" s="414">
        <v>0</v>
      </c>
      <c r="Q132" s="414">
        <v>0</v>
      </c>
      <c r="R132" s="414">
        <v>1</v>
      </c>
      <c r="S132" s="414">
        <v>1</v>
      </c>
      <c r="T132" s="414">
        <v>1</v>
      </c>
      <c r="U132" s="414"/>
      <c r="V132" s="414">
        <v>0</v>
      </c>
      <c r="W132" s="414">
        <v>0</v>
      </c>
      <c r="X132" s="414">
        <v>0</v>
      </c>
      <c r="Y132" s="414">
        <v>0</v>
      </c>
      <c r="Z132" s="414"/>
    </row>
    <row r="133" spans="2:26" s="413" customFormat="1" ht="11.25" customHeight="1" x14ac:dyDescent="0.25">
      <c r="B133" s="431">
        <v>130</v>
      </c>
      <c r="C133" s="437" t="s">
        <v>1054</v>
      </c>
      <c r="D133" s="438" t="s">
        <v>1825</v>
      </c>
      <c r="E133" s="431" t="s">
        <v>1052</v>
      </c>
      <c r="F133" s="438" t="e">
        <f>'MT-ETUS'!U292</f>
        <v>#DIV/0!</v>
      </c>
      <c r="G133" s="439"/>
      <c r="H133" s="439"/>
      <c r="I133" s="440"/>
      <c r="J133" s="414"/>
      <c r="K133" s="413" t="s">
        <v>1055</v>
      </c>
      <c r="L133" s="414">
        <v>4</v>
      </c>
      <c r="M133" s="414"/>
      <c r="N133" s="414"/>
      <c r="O133" s="386">
        <f t="shared" si="3"/>
        <v>1</v>
      </c>
      <c r="P133" s="414">
        <v>0</v>
      </c>
      <c r="Q133" s="414">
        <v>0</v>
      </c>
      <c r="R133" s="414">
        <v>1</v>
      </c>
      <c r="S133" s="414">
        <v>1</v>
      </c>
      <c r="T133" s="414">
        <v>1</v>
      </c>
      <c r="U133" s="414"/>
      <c r="V133" s="414">
        <v>0</v>
      </c>
      <c r="W133" s="414">
        <v>0</v>
      </c>
      <c r="X133" s="414">
        <v>0</v>
      </c>
      <c r="Y133" s="414">
        <v>0</v>
      </c>
      <c r="Z133" s="414"/>
    </row>
    <row r="134" spans="2:26" s="413" customFormat="1" ht="11.25" customHeight="1" x14ac:dyDescent="0.25">
      <c r="B134" s="431">
        <v>131</v>
      </c>
      <c r="C134" s="437" t="s">
        <v>1056</v>
      </c>
      <c r="D134" s="438" t="s">
        <v>174</v>
      </c>
      <c r="E134" s="431" t="s">
        <v>1057</v>
      </c>
      <c r="F134" s="448">
        <f>'MT-ETUS'!R286</f>
        <v>0</v>
      </c>
      <c r="G134" s="439"/>
      <c r="H134" s="439"/>
      <c r="I134" s="440"/>
      <c r="J134" s="414"/>
      <c r="K134" s="413" t="s">
        <v>1058</v>
      </c>
      <c r="L134" s="414">
        <v>4</v>
      </c>
      <c r="M134" s="414"/>
      <c r="N134" s="414"/>
      <c r="O134" s="386">
        <f t="shared" si="3"/>
        <v>1</v>
      </c>
      <c r="P134" s="414">
        <v>0</v>
      </c>
      <c r="Q134" s="414">
        <v>0</v>
      </c>
      <c r="R134" s="414">
        <v>1</v>
      </c>
      <c r="S134" s="414">
        <v>1</v>
      </c>
      <c r="T134" s="414">
        <v>1</v>
      </c>
      <c r="U134" s="414"/>
      <c r="V134" s="414">
        <v>0</v>
      </c>
      <c r="W134" s="414">
        <v>0</v>
      </c>
      <c r="X134" s="414">
        <v>0</v>
      </c>
      <c r="Y134" s="414">
        <v>0</v>
      </c>
      <c r="Z134" s="414"/>
    </row>
    <row r="135" spans="2:26" s="413" customFormat="1" ht="11.25" customHeight="1" x14ac:dyDescent="0.25">
      <c r="B135" s="431">
        <v>132</v>
      </c>
      <c r="C135" s="437" t="s">
        <v>1059</v>
      </c>
      <c r="D135" s="438" t="s">
        <v>176</v>
      </c>
      <c r="E135" s="431" t="s">
        <v>1060</v>
      </c>
      <c r="F135" s="448">
        <f>'MT-ETUS'!R289</f>
        <v>0</v>
      </c>
      <c r="G135" s="439"/>
      <c r="H135" s="439"/>
      <c r="I135" s="440"/>
      <c r="J135" s="414"/>
      <c r="L135" s="414">
        <v>4</v>
      </c>
      <c r="M135" s="414"/>
      <c r="N135" s="414"/>
      <c r="O135" s="386">
        <f t="shared" si="3"/>
        <v>1</v>
      </c>
      <c r="P135" s="414">
        <v>0</v>
      </c>
      <c r="Q135" s="414">
        <v>0</v>
      </c>
      <c r="R135" s="414">
        <v>1</v>
      </c>
      <c r="S135" s="414">
        <v>1</v>
      </c>
      <c r="T135" s="414">
        <v>1</v>
      </c>
      <c r="U135" s="414"/>
      <c r="V135" s="414">
        <v>0</v>
      </c>
      <c r="W135" s="414">
        <v>0</v>
      </c>
      <c r="X135" s="414">
        <v>0</v>
      </c>
      <c r="Y135" s="414">
        <v>0</v>
      </c>
      <c r="Z135" s="414"/>
    </row>
    <row r="136" spans="2:26" s="413" customFormat="1" ht="11.25" customHeight="1" x14ac:dyDescent="0.25">
      <c r="B136" s="431">
        <v>133</v>
      </c>
      <c r="C136" s="437" t="s">
        <v>1061</v>
      </c>
      <c r="D136" s="438" t="s">
        <v>175</v>
      </c>
      <c r="E136" s="431" t="s">
        <v>1062</v>
      </c>
      <c r="F136" s="448">
        <f>'MT-ETUS'!R287</f>
        <v>0</v>
      </c>
      <c r="G136" s="439"/>
      <c r="H136" s="439"/>
      <c r="I136" s="440"/>
      <c r="J136" s="414"/>
      <c r="L136" s="414">
        <v>4</v>
      </c>
      <c r="M136" s="414"/>
      <c r="N136" s="414"/>
      <c r="O136" s="386">
        <f t="shared" si="3"/>
        <v>1</v>
      </c>
      <c r="P136" s="414">
        <v>0</v>
      </c>
      <c r="Q136" s="414">
        <v>0</v>
      </c>
      <c r="R136" s="414">
        <v>1</v>
      </c>
      <c r="S136" s="414">
        <v>1</v>
      </c>
      <c r="T136" s="414">
        <v>1</v>
      </c>
      <c r="U136" s="414"/>
      <c r="V136" s="414">
        <v>0</v>
      </c>
      <c r="W136" s="414">
        <v>0</v>
      </c>
      <c r="X136" s="414">
        <v>0</v>
      </c>
      <c r="Y136" s="414">
        <v>0</v>
      </c>
      <c r="Z136" s="414"/>
    </row>
    <row r="137" spans="2:26" s="413" customFormat="1" ht="11.25" customHeight="1" x14ac:dyDescent="0.25">
      <c r="B137" s="431">
        <v>134</v>
      </c>
      <c r="C137" s="437" t="s">
        <v>1063</v>
      </c>
      <c r="D137" s="438" t="s">
        <v>117</v>
      </c>
      <c r="E137" s="431" t="s">
        <v>1064</v>
      </c>
      <c r="F137" s="448">
        <f>'MT-ETUS'!R288</f>
        <v>0</v>
      </c>
      <c r="G137" s="439"/>
      <c r="H137" s="439"/>
      <c r="I137" s="440"/>
      <c r="J137" s="414"/>
      <c r="L137" s="414">
        <v>4</v>
      </c>
      <c r="M137" s="414"/>
      <c r="N137" s="414"/>
      <c r="O137" s="386">
        <f t="shared" si="3"/>
        <v>1</v>
      </c>
      <c r="P137" s="414">
        <v>0</v>
      </c>
      <c r="Q137" s="414">
        <v>0</v>
      </c>
      <c r="R137" s="414">
        <v>1</v>
      </c>
      <c r="S137" s="414">
        <v>1</v>
      </c>
      <c r="T137" s="414">
        <v>1</v>
      </c>
      <c r="U137" s="414"/>
      <c r="V137" s="414">
        <v>0</v>
      </c>
      <c r="W137" s="414">
        <v>0</v>
      </c>
      <c r="X137" s="414">
        <v>0</v>
      </c>
      <c r="Y137" s="414">
        <v>0</v>
      </c>
      <c r="Z137" s="414"/>
    </row>
    <row r="138" spans="2:26" s="413" customFormat="1" ht="11.25" customHeight="1" x14ac:dyDescent="0.25">
      <c r="B138" s="431">
        <v>135</v>
      </c>
      <c r="C138" s="437" t="s">
        <v>1065</v>
      </c>
      <c r="D138" s="438" t="s">
        <v>177</v>
      </c>
      <c r="E138" s="431" t="s">
        <v>1066</v>
      </c>
      <c r="F138" s="448">
        <f>'MT-ETUS'!R290</f>
        <v>0</v>
      </c>
      <c r="G138" s="439"/>
      <c r="H138" s="439"/>
      <c r="I138" s="440"/>
      <c r="J138" s="414"/>
      <c r="L138" s="414">
        <v>4</v>
      </c>
      <c r="M138" s="414"/>
      <c r="N138" s="414"/>
      <c r="O138" s="386">
        <f t="shared" si="3"/>
        <v>1</v>
      </c>
      <c r="P138" s="414">
        <v>0</v>
      </c>
      <c r="Q138" s="414">
        <v>0</v>
      </c>
      <c r="R138" s="414">
        <v>1</v>
      </c>
      <c r="S138" s="414">
        <v>1</v>
      </c>
      <c r="T138" s="414">
        <v>1</v>
      </c>
      <c r="U138" s="414"/>
      <c r="V138" s="414">
        <v>0</v>
      </c>
      <c r="W138" s="414">
        <v>0</v>
      </c>
      <c r="X138" s="414">
        <v>0</v>
      </c>
      <c r="Y138" s="414">
        <v>0</v>
      </c>
      <c r="Z138" s="414"/>
    </row>
    <row r="139" spans="2:26" s="413" customFormat="1" ht="11.25" customHeight="1" x14ac:dyDescent="0.25">
      <c r="B139" s="431">
        <v>136</v>
      </c>
      <c r="C139" s="437" t="s">
        <v>1067</v>
      </c>
      <c r="D139" s="438" t="s">
        <v>1068</v>
      </c>
      <c r="E139" s="431" t="s">
        <v>1069</v>
      </c>
      <c r="F139" s="448">
        <f>'MT-ETUS'!R299</f>
        <v>0</v>
      </c>
      <c r="G139" s="439"/>
      <c r="H139" s="439"/>
      <c r="I139" s="440"/>
      <c r="J139" s="414"/>
      <c r="L139" s="414">
        <v>4</v>
      </c>
      <c r="M139" s="414"/>
      <c r="N139" s="414"/>
      <c r="O139" s="386">
        <f t="shared" si="3"/>
        <v>1</v>
      </c>
      <c r="P139" s="414">
        <v>0</v>
      </c>
      <c r="Q139" s="414">
        <v>0</v>
      </c>
      <c r="R139" s="414">
        <v>0</v>
      </c>
      <c r="S139" s="414">
        <v>1</v>
      </c>
      <c r="T139" s="414">
        <v>1</v>
      </c>
      <c r="U139" s="414"/>
      <c r="V139" s="414">
        <v>0</v>
      </c>
      <c r="W139" s="414">
        <v>0</v>
      </c>
      <c r="X139" s="414">
        <v>0</v>
      </c>
      <c r="Y139" s="414">
        <v>0</v>
      </c>
      <c r="Z139" s="414"/>
    </row>
    <row r="140" spans="2:26" s="413" customFormat="1" ht="11.25" customHeight="1" x14ac:dyDescent="0.25">
      <c r="B140" s="431">
        <v>137</v>
      </c>
      <c r="C140" s="437" t="s">
        <v>1071</v>
      </c>
      <c r="D140" s="438" t="s">
        <v>1072</v>
      </c>
      <c r="E140" s="431" t="s">
        <v>1073</v>
      </c>
      <c r="F140" s="437" t="str">
        <f>'MT-ETUS'!M124&amp;" y "&amp;'MT-ETUS'!Q124</f>
        <v xml:space="preserve">- y </v>
      </c>
      <c r="G140" s="439"/>
      <c r="H140" s="439"/>
      <c r="I140" s="440"/>
      <c r="J140" s="414"/>
      <c r="K140" s="413" t="s">
        <v>1823</v>
      </c>
      <c r="L140" s="414">
        <v>4</v>
      </c>
      <c r="M140" s="414"/>
      <c r="N140" s="414"/>
      <c r="O140" s="386">
        <f t="shared" si="3"/>
        <v>1</v>
      </c>
      <c r="P140" s="414">
        <v>0</v>
      </c>
      <c r="Q140" s="414">
        <v>0</v>
      </c>
      <c r="R140" s="414">
        <v>1</v>
      </c>
      <c r="S140" s="414">
        <v>1</v>
      </c>
      <c r="T140" s="414">
        <v>1</v>
      </c>
      <c r="U140" s="414"/>
      <c r="V140" s="414">
        <v>0</v>
      </c>
      <c r="W140" s="414">
        <v>0</v>
      </c>
      <c r="X140" s="414">
        <v>0</v>
      </c>
      <c r="Y140" s="414">
        <v>0</v>
      </c>
      <c r="Z140" s="414"/>
    </row>
    <row r="141" spans="2:26" s="413" customFormat="1" ht="11.25" customHeight="1" x14ac:dyDescent="0.25">
      <c r="B141" s="431">
        <v>138</v>
      </c>
      <c r="C141" s="437" t="s">
        <v>1074</v>
      </c>
      <c r="D141" s="438" t="s">
        <v>1075</v>
      </c>
      <c r="E141" s="431" t="s">
        <v>1815</v>
      </c>
      <c r="F141" s="437" t="str">
        <f>'MT-ETUS'!M125&amp;" y "&amp;'MT-ETUS'!Q125</f>
        <v xml:space="preserve">- y </v>
      </c>
      <c r="G141" s="439"/>
      <c r="H141" s="439"/>
      <c r="I141" s="440"/>
      <c r="J141" s="414"/>
      <c r="K141" s="413" t="s">
        <v>1824</v>
      </c>
      <c r="L141" s="414">
        <v>4</v>
      </c>
      <c r="M141" s="414"/>
      <c r="N141" s="414"/>
      <c r="O141" s="386">
        <f t="shared" si="3"/>
        <v>1</v>
      </c>
      <c r="P141" s="414">
        <v>0</v>
      </c>
      <c r="Q141" s="414">
        <v>0</v>
      </c>
      <c r="R141" s="414">
        <v>1</v>
      </c>
      <c r="S141" s="414">
        <v>1</v>
      </c>
      <c r="T141" s="414">
        <v>1</v>
      </c>
      <c r="U141" s="414"/>
      <c r="V141" s="414">
        <v>0</v>
      </c>
      <c r="W141" s="414">
        <v>0</v>
      </c>
      <c r="X141" s="414">
        <v>0</v>
      </c>
      <c r="Y141" s="414">
        <v>0</v>
      </c>
      <c r="Z141" s="414"/>
    </row>
    <row r="142" spans="2:26" s="413" customFormat="1" ht="11.25" customHeight="1" x14ac:dyDescent="0.25">
      <c r="B142" s="431">
        <v>139</v>
      </c>
      <c r="C142" s="437" t="s">
        <v>1076</v>
      </c>
      <c r="D142" s="438" t="s">
        <v>1077</v>
      </c>
      <c r="E142" s="431" t="s">
        <v>1815</v>
      </c>
      <c r="F142" s="437" t="str">
        <f>F141</f>
        <v xml:space="preserve">- y </v>
      </c>
      <c r="G142" s="439"/>
      <c r="H142" s="439"/>
      <c r="I142" s="440"/>
      <c r="J142" s="414"/>
      <c r="K142" s="413" t="s">
        <v>1078</v>
      </c>
      <c r="L142" s="414">
        <v>4</v>
      </c>
      <c r="M142" s="414"/>
      <c r="N142" s="414"/>
      <c r="O142" s="386">
        <f t="shared" si="3"/>
        <v>1</v>
      </c>
      <c r="P142" s="414">
        <v>0</v>
      </c>
      <c r="Q142" s="414">
        <v>0</v>
      </c>
      <c r="R142" s="414">
        <v>1</v>
      </c>
      <c r="S142" s="414">
        <v>1</v>
      </c>
      <c r="T142" s="414">
        <v>1</v>
      </c>
      <c r="U142" s="414"/>
      <c r="V142" s="414">
        <v>0</v>
      </c>
      <c r="W142" s="414">
        <v>0</v>
      </c>
      <c r="X142" s="414">
        <v>0</v>
      </c>
      <c r="Y142" s="414">
        <v>0</v>
      </c>
      <c r="Z142" s="414"/>
    </row>
    <row r="143" spans="2:26" s="413" customFormat="1" ht="11.25" customHeight="1" x14ac:dyDescent="0.25">
      <c r="B143" s="431">
        <v>140</v>
      </c>
      <c r="C143" s="437" t="s">
        <v>1079</v>
      </c>
      <c r="D143" s="438" t="s">
        <v>1080</v>
      </c>
      <c r="E143" s="431" t="s">
        <v>1081</v>
      </c>
      <c r="F143" s="438"/>
      <c r="G143" s="439"/>
      <c r="H143" s="439"/>
      <c r="I143" s="440"/>
      <c r="J143" s="414"/>
      <c r="K143" s="413" t="s">
        <v>1082</v>
      </c>
      <c r="L143" s="414">
        <v>4</v>
      </c>
      <c r="M143" s="414"/>
      <c r="N143" s="414"/>
      <c r="O143" s="386">
        <f t="shared" si="3"/>
        <v>1</v>
      </c>
      <c r="P143" s="414">
        <v>0</v>
      </c>
      <c r="Q143" s="414">
        <v>0</v>
      </c>
      <c r="R143" s="414">
        <v>1</v>
      </c>
      <c r="S143" s="414">
        <v>1</v>
      </c>
      <c r="T143" s="414">
        <v>1</v>
      </c>
      <c r="U143" s="414"/>
      <c r="V143" s="414">
        <v>0</v>
      </c>
      <c r="W143" s="414">
        <v>0</v>
      </c>
      <c r="X143" s="414">
        <v>0</v>
      </c>
      <c r="Y143" s="414">
        <v>0</v>
      </c>
      <c r="Z143" s="414"/>
    </row>
    <row r="144" spans="2:26" s="420" customFormat="1" ht="11.25" customHeight="1" x14ac:dyDescent="0.25">
      <c r="B144" s="431">
        <v>141</v>
      </c>
      <c r="C144" s="432" t="s">
        <v>1083</v>
      </c>
      <c r="D144" s="433" t="s">
        <v>1084</v>
      </c>
      <c r="E144" s="434"/>
      <c r="F144" s="438"/>
      <c r="G144" s="435"/>
      <c r="H144" s="435"/>
      <c r="I144" s="436"/>
      <c r="J144" s="414"/>
      <c r="L144" s="414">
        <v>0</v>
      </c>
      <c r="M144" s="414"/>
      <c r="N144" s="428"/>
      <c r="O144" s="386" t="str">
        <f t="shared" si="3"/>
        <v>x</v>
      </c>
      <c r="P144" s="414" t="s">
        <v>2</v>
      </c>
      <c r="Q144" s="414" t="s">
        <v>2</v>
      </c>
      <c r="R144" s="414" t="s">
        <v>2</v>
      </c>
      <c r="S144" s="414" t="s">
        <v>2</v>
      </c>
      <c r="T144" s="414" t="s">
        <v>2</v>
      </c>
      <c r="U144" s="414"/>
      <c r="V144" s="414" t="s">
        <v>2</v>
      </c>
      <c r="W144" s="414" t="s">
        <v>2</v>
      </c>
      <c r="X144" s="414" t="s">
        <v>2</v>
      </c>
      <c r="Y144" s="414" t="s">
        <v>2</v>
      </c>
      <c r="Z144" s="414"/>
    </row>
    <row r="145" spans="1:26" s="420" customFormat="1" ht="11.25" customHeight="1" x14ac:dyDescent="0.25">
      <c r="A145" s="413"/>
      <c r="B145" s="431">
        <v>142</v>
      </c>
      <c r="C145" s="432" t="s">
        <v>238</v>
      </c>
      <c r="D145" s="433" t="s">
        <v>98</v>
      </c>
      <c r="E145" s="434" t="s">
        <v>1688</v>
      </c>
      <c r="F145" s="508" t="str">
        <f>'MT-ETUS'!K18&amp;" - "&amp;'MT-ETUS'!Q18</f>
        <v xml:space="preserve">Nueva/o - </v>
      </c>
      <c r="G145" s="435"/>
      <c r="H145" s="435"/>
      <c r="I145" s="436"/>
      <c r="J145" s="414"/>
      <c r="K145" s="413" t="s">
        <v>1085</v>
      </c>
      <c r="L145" s="414">
        <v>0</v>
      </c>
      <c r="M145" s="414"/>
      <c r="N145" s="414"/>
      <c r="O145" s="386">
        <f t="shared" si="3"/>
        <v>1</v>
      </c>
      <c r="P145" s="414">
        <v>1</v>
      </c>
      <c r="Q145" s="414">
        <v>1</v>
      </c>
      <c r="R145" s="414">
        <v>1</v>
      </c>
      <c r="S145" s="414">
        <v>1</v>
      </c>
      <c r="T145" s="414">
        <v>1</v>
      </c>
      <c r="U145" s="414"/>
      <c r="V145" s="414">
        <v>1</v>
      </c>
      <c r="W145" s="414">
        <v>1</v>
      </c>
      <c r="X145" s="414">
        <v>1</v>
      </c>
      <c r="Y145" s="414">
        <v>1</v>
      </c>
      <c r="Z145" s="414"/>
    </row>
    <row r="146" spans="1:26" s="413" customFormat="1" ht="11.25" customHeight="1" x14ac:dyDescent="0.25">
      <c r="B146" s="431">
        <v>143</v>
      </c>
      <c r="C146" s="437" t="s">
        <v>1086</v>
      </c>
      <c r="D146" s="438" t="s">
        <v>1087</v>
      </c>
      <c r="E146" s="431" t="s">
        <v>1723</v>
      </c>
      <c r="F146" s="512" t="s">
        <v>1724</v>
      </c>
      <c r="G146" s="439"/>
      <c r="H146" s="439"/>
      <c r="I146" s="440"/>
      <c r="J146" s="414"/>
      <c r="L146" s="414">
        <v>2</v>
      </c>
      <c r="M146" s="414"/>
      <c r="N146" s="414"/>
      <c r="O146" s="386">
        <f t="shared" si="3"/>
        <v>1</v>
      </c>
      <c r="P146" s="414">
        <v>1</v>
      </c>
      <c r="Q146" s="414">
        <v>1</v>
      </c>
      <c r="R146" s="414">
        <v>1</v>
      </c>
      <c r="S146" s="414">
        <v>1</v>
      </c>
      <c r="T146" s="414">
        <v>1</v>
      </c>
      <c r="U146" s="414"/>
      <c r="V146" s="414">
        <v>1</v>
      </c>
      <c r="W146" s="414">
        <v>1</v>
      </c>
      <c r="X146" s="414">
        <v>1</v>
      </c>
      <c r="Y146" s="414">
        <v>1</v>
      </c>
      <c r="Z146" s="414"/>
    </row>
    <row r="147" spans="1:26" s="413" customFormat="1" ht="11.25" customHeight="1" x14ac:dyDescent="0.25">
      <c r="B147" s="431">
        <v>144</v>
      </c>
      <c r="C147" s="437" t="s">
        <v>1088</v>
      </c>
      <c r="D147" s="438" t="s">
        <v>519</v>
      </c>
      <c r="E147" s="431" t="s">
        <v>1089</v>
      </c>
      <c r="F147" s="448" t="str">
        <f>'MT-ETUS'!M169&amp;" - "&amp;'MT-ETUS'!R169&amp;" - "&amp;'MT-ETUS'!S169</f>
        <v xml:space="preserve">N - - - </v>
      </c>
      <c r="G147" s="439"/>
      <c r="H147" s="439"/>
      <c r="I147" s="440"/>
      <c r="J147" s="414"/>
      <c r="K147" s="413" t="s">
        <v>1856</v>
      </c>
      <c r="L147" s="414">
        <v>6</v>
      </c>
      <c r="M147" s="414"/>
      <c r="N147" s="414">
        <v>1</v>
      </c>
      <c r="O147" s="386">
        <f t="shared" si="3"/>
        <v>1</v>
      </c>
      <c r="P147" s="414">
        <v>1</v>
      </c>
      <c r="Q147" s="414">
        <v>1</v>
      </c>
      <c r="R147" s="414">
        <v>1</v>
      </c>
      <c r="S147" s="414">
        <v>1</v>
      </c>
      <c r="T147" s="414">
        <v>1</v>
      </c>
      <c r="U147" s="414"/>
      <c r="V147" s="414">
        <v>1</v>
      </c>
      <c r="W147" s="414">
        <v>1</v>
      </c>
      <c r="X147" s="414">
        <v>1</v>
      </c>
      <c r="Y147" s="414">
        <v>1</v>
      </c>
      <c r="Z147" s="414"/>
    </row>
    <row r="148" spans="1:26" s="413" customFormat="1" ht="11.25" customHeight="1" x14ac:dyDescent="0.25">
      <c r="B148" s="431">
        <v>145</v>
      </c>
      <c r="C148" s="437" t="s">
        <v>1088</v>
      </c>
      <c r="D148" s="438" t="s">
        <v>1090</v>
      </c>
      <c r="E148" s="431" t="s">
        <v>1091</v>
      </c>
      <c r="F148" s="448" t="str">
        <f>'MT-ETUS'!M170&amp;" - "&amp;'MT-ETUS'!R170&amp;" - "&amp;'MT-ETUS'!S170</f>
        <v xml:space="preserve">0 - - - </v>
      </c>
      <c r="G148" s="439"/>
      <c r="H148" s="439"/>
      <c r="I148" s="440"/>
      <c r="J148" s="414"/>
      <c r="K148" s="413" t="s">
        <v>1092</v>
      </c>
      <c r="L148" s="414">
        <v>6</v>
      </c>
      <c r="M148" s="414"/>
      <c r="N148" s="414">
        <v>1</v>
      </c>
      <c r="O148" s="386">
        <f t="shared" si="3"/>
        <v>1</v>
      </c>
      <c r="P148" s="414">
        <v>1</v>
      </c>
      <c r="Q148" s="414">
        <v>1</v>
      </c>
      <c r="R148" s="414">
        <v>1</v>
      </c>
      <c r="S148" s="414">
        <v>1</v>
      </c>
      <c r="T148" s="414">
        <v>1</v>
      </c>
      <c r="U148" s="414"/>
      <c r="V148" s="414">
        <v>1</v>
      </c>
      <c r="W148" s="414">
        <v>1</v>
      </c>
      <c r="X148" s="414">
        <v>1</v>
      </c>
      <c r="Y148" s="414">
        <v>1</v>
      </c>
      <c r="Z148" s="414"/>
    </row>
    <row r="149" spans="1:26" s="413" customFormat="1" ht="11.25" customHeight="1" x14ac:dyDescent="0.25">
      <c r="B149" s="431">
        <v>146</v>
      </c>
      <c r="C149" s="437" t="s">
        <v>1093</v>
      </c>
      <c r="D149" s="438" t="s">
        <v>1094</v>
      </c>
      <c r="E149" s="431" t="s">
        <v>1089</v>
      </c>
      <c r="F149" s="438" t="str">
        <f>'MT-ETUS'!M169&amp;" está en el rango N 45"</f>
        <v>N está en el rango N 45</v>
      </c>
      <c r="G149" s="439"/>
      <c r="H149" s="439"/>
      <c r="I149" s="440"/>
      <c r="J149" s="414"/>
      <c r="K149" s="413" t="s">
        <v>1689</v>
      </c>
      <c r="L149" s="414">
        <v>5</v>
      </c>
      <c r="M149" s="414"/>
      <c r="N149" s="414"/>
      <c r="O149" s="386">
        <f t="shared" si="3"/>
        <v>1</v>
      </c>
      <c r="P149" s="414">
        <v>1</v>
      </c>
      <c r="Q149" s="414">
        <v>1</v>
      </c>
      <c r="R149" s="414">
        <v>1</v>
      </c>
      <c r="S149" s="414">
        <v>1</v>
      </c>
      <c r="T149" s="414">
        <v>1</v>
      </c>
      <c r="U149" s="414"/>
      <c r="V149" s="414">
        <v>1</v>
      </c>
      <c r="W149" s="414">
        <v>1</v>
      </c>
      <c r="X149" s="414">
        <v>1</v>
      </c>
      <c r="Y149" s="414">
        <v>1</v>
      </c>
      <c r="Z149" s="414"/>
    </row>
    <row r="150" spans="1:26" s="413" customFormat="1" ht="11.25" customHeight="1" x14ac:dyDescent="0.25">
      <c r="B150" s="431">
        <v>147</v>
      </c>
      <c r="C150" s="437" t="s">
        <v>1095</v>
      </c>
      <c r="D150" s="438" t="s">
        <v>1096</v>
      </c>
      <c r="E150" s="431" t="s">
        <v>1091</v>
      </c>
      <c r="F150" s="438" t="str">
        <f>'MT-ETUS'!M170&amp;" está en el rango latitud 15 10 "</f>
        <v xml:space="preserve">0 está en el rango latitud 15 10 </v>
      </c>
      <c r="G150" s="439"/>
      <c r="H150" s="439"/>
      <c r="I150" s="440"/>
      <c r="J150" s="414"/>
      <c r="K150" s="413" t="s">
        <v>1690</v>
      </c>
      <c r="L150" s="414">
        <v>5</v>
      </c>
      <c r="M150" s="414"/>
      <c r="N150" s="414"/>
      <c r="O150" s="386">
        <f t="shared" si="3"/>
        <v>1</v>
      </c>
      <c r="P150" s="414">
        <v>1</v>
      </c>
      <c r="Q150" s="414">
        <v>1</v>
      </c>
      <c r="R150" s="414">
        <v>1</v>
      </c>
      <c r="S150" s="414">
        <v>1</v>
      </c>
      <c r="T150" s="414">
        <v>1</v>
      </c>
      <c r="U150" s="414"/>
      <c r="V150" s="414">
        <v>1</v>
      </c>
      <c r="W150" s="414">
        <v>1</v>
      </c>
      <c r="X150" s="414">
        <v>1</v>
      </c>
      <c r="Y150" s="414">
        <v>1</v>
      </c>
      <c r="Z150" s="414"/>
    </row>
    <row r="151" spans="1:26" s="413" customFormat="1" ht="11.25" customHeight="1" x14ac:dyDescent="0.25">
      <c r="B151" s="431">
        <v>148</v>
      </c>
      <c r="C151" s="437" t="s">
        <v>1097</v>
      </c>
      <c r="D151" s="438" t="s">
        <v>1098</v>
      </c>
      <c r="E151" s="431" t="s">
        <v>1725</v>
      </c>
      <c r="F151" s="512" t="s">
        <v>1726</v>
      </c>
      <c r="G151" s="439"/>
      <c r="H151" s="439"/>
      <c r="I151" s="440"/>
      <c r="J151" s="414"/>
      <c r="K151" s="413" t="s">
        <v>1099</v>
      </c>
      <c r="L151" s="414">
        <v>5</v>
      </c>
      <c r="M151" s="414"/>
      <c r="N151" s="414"/>
      <c r="O151" s="386">
        <f t="shared" si="3"/>
        <v>1</v>
      </c>
      <c r="P151" s="414">
        <v>0</v>
      </c>
      <c r="Q151" s="414">
        <v>0</v>
      </c>
      <c r="R151" s="414">
        <v>1</v>
      </c>
      <c r="S151" s="414">
        <v>1</v>
      </c>
      <c r="T151" s="414">
        <v>1</v>
      </c>
      <c r="U151" s="414"/>
      <c r="V151" s="414">
        <v>0</v>
      </c>
      <c r="W151" s="414">
        <v>1</v>
      </c>
      <c r="X151" s="414">
        <v>1</v>
      </c>
      <c r="Y151" s="414">
        <v>1</v>
      </c>
      <c r="Z151" s="414"/>
    </row>
    <row r="152" spans="1:26" s="413" customFormat="1" ht="11.25" customHeight="1" x14ac:dyDescent="0.25">
      <c r="B152" s="431">
        <v>149</v>
      </c>
      <c r="C152" s="437" t="s">
        <v>1100</v>
      </c>
      <c r="D152" s="438" t="s">
        <v>466</v>
      </c>
      <c r="E152" s="431" t="s">
        <v>1101</v>
      </c>
      <c r="F152" s="448" t="str">
        <f>'MT-ETUS'!M171&amp;" - "&amp;'MT-ETUS'!Q171</f>
        <v xml:space="preserve">- - </v>
      </c>
      <c r="G152" s="439"/>
      <c r="H152" s="439"/>
      <c r="I152" s="440"/>
      <c r="J152" s="414"/>
      <c r="K152" s="413" t="s">
        <v>1857</v>
      </c>
      <c r="L152" s="414">
        <v>6</v>
      </c>
      <c r="M152" s="414"/>
      <c r="N152" s="414">
        <v>1</v>
      </c>
      <c r="O152" s="386">
        <f t="shared" si="3"/>
        <v>1</v>
      </c>
      <c r="P152" s="414">
        <v>1</v>
      </c>
      <c r="Q152" s="414">
        <v>1</v>
      </c>
      <c r="R152" s="414">
        <v>1</v>
      </c>
      <c r="S152" s="414">
        <v>1</v>
      </c>
      <c r="T152" s="414">
        <v>1</v>
      </c>
      <c r="U152" s="414"/>
      <c r="V152" s="414">
        <v>1</v>
      </c>
      <c r="W152" s="414">
        <v>1</v>
      </c>
      <c r="X152" s="414">
        <v>1</v>
      </c>
      <c r="Y152" s="414">
        <v>1</v>
      </c>
      <c r="Z152" s="414"/>
    </row>
    <row r="153" spans="1:26" s="413" customFormat="1" ht="11.25" customHeight="1" x14ac:dyDescent="0.25">
      <c r="B153" s="431">
        <v>150</v>
      </c>
      <c r="C153" s="437" t="s">
        <v>1102</v>
      </c>
      <c r="D153" s="438" t="s">
        <v>1103</v>
      </c>
      <c r="E153" s="431" t="s">
        <v>1733</v>
      </c>
      <c r="F153" s="512" t="s">
        <v>1841</v>
      </c>
      <c r="G153" s="439"/>
      <c r="H153" s="439"/>
      <c r="I153" s="440"/>
      <c r="J153" s="414"/>
      <c r="L153" s="414">
        <v>2</v>
      </c>
      <c r="M153" s="414"/>
      <c r="N153" s="414"/>
      <c r="O153" s="386">
        <f t="shared" si="3"/>
        <v>1</v>
      </c>
      <c r="P153" s="414">
        <v>1</v>
      </c>
      <c r="Q153" s="414">
        <v>1</v>
      </c>
      <c r="R153" s="414">
        <v>1</v>
      </c>
      <c r="S153" s="414">
        <v>1</v>
      </c>
      <c r="T153" s="414">
        <v>1</v>
      </c>
      <c r="U153" s="414"/>
      <c r="V153" s="414">
        <v>1</v>
      </c>
      <c r="W153" s="414">
        <v>1</v>
      </c>
      <c r="X153" s="414">
        <v>1</v>
      </c>
      <c r="Y153" s="414">
        <v>1</v>
      </c>
      <c r="Z153" s="414"/>
    </row>
    <row r="154" spans="1:26" s="413" customFormat="1" ht="11.25" customHeight="1" x14ac:dyDescent="0.25">
      <c r="B154" s="431">
        <v>151</v>
      </c>
      <c r="C154" s="437" t="s">
        <v>1104</v>
      </c>
      <c r="D154" s="438" t="s">
        <v>1105</v>
      </c>
      <c r="E154" s="431" t="s">
        <v>1733</v>
      </c>
      <c r="F154" s="512" t="s">
        <v>1841</v>
      </c>
      <c r="G154" s="439"/>
      <c r="H154" s="439"/>
      <c r="I154" s="440"/>
      <c r="J154" s="414"/>
      <c r="L154" s="414">
        <v>2</v>
      </c>
      <c r="M154" s="414"/>
      <c r="N154" s="414"/>
      <c r="O154" s="386">
        <f t="shared" si="3"/>
        <v>1</v>
      </c>
      <c r="P154" s="414">
        <v>1</v>
      </c>
      <c r="Q154" s="414">
        <v>1</v>
      </c>
      <c r="R154" s="414">
        <v>1</v>
      </c>
      <c r="S154" s="414">
        <v>1</v>
      </c>
      <c r="T154" s="414">
        <v>1</v>
      </c>
      <c r="U154" s="414"/>
      <c r="V154" s="414">
        <v>1</v>
      </c>
      <c r="W154" s="414">
        <v>1</v>
      </c>
      <c r="X154" s="414">
        <v>1</v>
      </c>
      <c r="Y154" s="414">
        <v>1</v>
      </c>
      <c r="Z154" s="414"/>
    </row>
    <row r="155" spans="1:26" s="413" customFormat="1" ht="11.25" customHeight="1" x14ac:dyDescent="0.25">
      <c r="B155" s="431">
        <v>152</v>
      </c>
      <c r="C155" s="437" t="s">
        <v>1106</v>
      </c>
      <c r="D155" s="438" t="s">
        <v>1107</v>
      </c>
      <c r="E155" s="431" t="s">
        <v>1733</v>
      </c>
      <c r="F155" s="512" t="s">
        <v>1841</v>
      </c>
      <c r="G155" s="439"/>
      <c r="H155" s="439"/>
      <c r="I155" s="440"/>
      <c r="J155" s="414"/>
      <c r="L155" s="414">
        <v>2</v>
      </c>
      <c r="M155" s="414"/>
      <c r="N155" s="414"/>
      <c r="O155" s="386">
        <f t="shared" si="3"/>
        <v>1</v>
      </c>
      <c r="P155" s="414">
        <v>1</v>
      </c>
      <c r="Q155" s="414">
        <v>1</v>
      </c>
      <c r="R155" s="414">
        <v>1</v>
      </c>
      <c r="S155" s="414">
        <v>1</v>
      </c>
      <c r="T155" s="414">
        <v>1</v>
      </c>
      <c r="U155" s="414"/>
      <c r="V155" s="414">
        <v>1</v>
      </c>
      <c r="W155" s="414">
        <v>1</v>
      </c>
      <c r="X155" s="414">
        <v>1</v>
      </c>
      <c r="Y155" s="414">
        <v>1</v>
      </c>
      <c r="Z155" s="414"/>
    </row>
    <row r="156" spans="1:26" s="413" customFormat="1" ht="11.25" customHeight="1" x14ac:dyDescent="0.25">
      <c r="B156" s="431">
        <v>153</v>
      </c>
      <c r="C156" s="437" t="s">
        <v>1108</v>
      </c>
      <c r="D156" s="438" t="s">
        <v>1109</v>
      </c>
      <c r="E156" s="431" t="s">
        <v>1733</v>
      </c>
      <c r="F156" s="512" t="s">
        <v>1841</v>
      </c>
      <c r="G156" s="439"/>
      <c r="H156" s="439"/>
      <c r="I156" s="440"/>
      <c r="J156" s="414"/>
      <c r="L156" s="414">
        <v>2</v>
      </c>
      <c r="M156" s="414"/>
      <c r="N156" s="414"/>
      <c r="O156" s="386">
        <f t="shared" si="3"/>
        <v>1</v>
      </c>
      <c r="P156" s="414">
        <v>0</v>
      </c>
      <c r="Q156" s="414">
        <v>0</v>
      </c>
      <c r="R156" s="414">
        <v>1</v>
      </c>
      <c r="S156" s="414">
        <v>1</v>
      </c>
      <c r="T156" s="414">
        <v>1</v>
      </c>
      <c r="U156" s="414"/>
      <c r="V156" s="414">
        <v>0</v>
      </c>
      <c r="W156" s="414">
        <v>1</v>
      </c>
      <c r="X156" s="414">
        <v>1</v>
      </c>
      <c r="Y156" s="414">
        <v>1</v>
      </c>
      <c r="Z156" s="414"/>
    </row>
    <row r="157" spans="1:26" s="413" customFormat="1" ht="11.25" customHeight="1" x14ac:dyDescent="0.25">
      <c r="B157" s="431">
        <v>154</v>
      </c>
      <c r="C157" s="437" t="s">
        <v>1110</v>
      </c>
      <c r="D157" s="438" t="s">
        <v>1111</v>
      </c>
      <c r="E157" s="431" t="s">
        <v>1733</v>
      </c>
      <c r="F157" s="512" t="s">
        <v>1841</v>
      </c>
      <c r="G157" s="439"/>
      <c r="H157" s="439"/>
      <c r="I157" s="440"/>
      <c r="J157" s="414"/>
      <c r="L157" s="414">
        <v>2</v>
      </c>
      <c r="M157" s="414"/>
      <c r="N157" s="414"/>
      <c r="O157" s="386">
        <f t="shared" si="3"/>
        <v>1</v>
      </c>
      <c r="P157" s="414">
        <v>0</v>
      </c>
      <c r="Q157" s="414">
        <v>0</v>
      </c>
      <c r="R157" s="414">
        <v>1</v>
      </c>
      <c r="S157" s="414">
        <v>1</v>
      </c>
      <c r="T157" s="414">
        <v>1</v>
      </c>
      <c r="U157" s="414"/>
      <c r="V157" s="414">
        <v>0</v>
      </c>
      <c r="W157" s="414">
        <v>1</v>
      </c>
      <c r="X157" s="414">
        <v>1</v>
      </c>
      <c r="Y157" s="414">
        <v>1</v>
      </c>
      <c r="Z157" s="414"/>
    </row>
    <row r="158" spans="1:26" s="413" customFormat="1" ht="11.25" customHeight="1" x14ac:dyDescent="0.25">
      <c r="B158" s="431">
        <v>155</v>
      </c>
      <c r="C158" s="437" t="s">
        <v>1110</v>
      </c>
      <c r="D158" s="438" t="s">
        <v>372</v>
      </c>
      <c r="E158" s="431" t="s">
        <v>1734</v>
      </c>
      <c r="F158" s="448" t="str">
        <f>'MT-ETUS'!M172&amp;" - "&amp;'MT-ETUS'!U172&amp;" cumple requisitos geométricos"</f>
        <v>0 - - cumple requisitos geométricos</v>
      </c>
      <c r="G158" s="439"/>
      <c r="H158" s="439"/>
      <c r="I158" s="440"/>
      <c r="J158" s="414"/>
      <c r="L158" s="414">
        <v>2</v>
      </c>
      <c r="M158" s="414"/>
      <c r="N158" s="414">
        <v>1</v>
      </c>
      <c r="O158" s="386">
        <f t="shared" si="3"/>
        <v>1</v>
      </c>
      <c r="P158" s="414">
        <v>0</v>
      </c>
      <c r="Q158" s="414">
        <v>0</v>
      </c>
      <c r="R158" s="414">
        <v>1</v>
      </c>
      <c r="S158" s="414">
        <v>1</v>
      </c>
      <c r="T158" s="414">
        <v>1</v>
      </c>
      <c r="U158" s="414"/>
      <c r="V158" s="414">
        <v>0</v>
      </c>
      <c r="W158" s="414">
        <v>1</v>
      </c>
      <c r="X158" s="414">
        <v>1</v>
      </c>
      <c r="Y158" s="414">
        <v>1</v>
      </c>
      <c r="Z158" s="414"/>
    </row>
    <row r="159" spans="1:26" s="413" customFormat="1" ht="11.25" customHeight="1" x14ac:dyDescent="0.25">
      <c r="B159" s="431">
        <v>156</v>
      </c>
      <c r="C159" s="437" t="s">
        <v>1112</v>
      </c>
      <c r="D159" s="438" t="s">
        <v>1113</v>
      </c>
      <c r="E159" s="431" t="s">
        <v>1733</v>
      </c>
      <c r="F159" s="512" t="s">
        <v>1841</v>
      </c>
      <c r="G159" s="439"/>
      <c r="H159" s="439"/>
      <c r="I159" s="440"/>
      <c r="J159" s="414"/>
      <c r="L159" s="414">
        <v>2</v>
      </c>
      <c r="M159" s="414"/>
      <c r="N159" s="414"/>
      <c r="O159" s="386">
        <f t="shared" si="3"/>
        <v>1</v>
      </c>
      <c r="P159" s="414">
        <v>1</v>
      </c>
      <c r="Q159" s="414">
        <v>1</v>
      </c>
      <c r="R159" s="414">
        <v>1</v>
      </c>
      <c r="S159" s="414">
        <v>1</v>
      </c>
      <c r="T159" s="414">
        <v>1</v>
      </c>
      <c r="U159" s="414"/>
      <c r="V159" s="414">
        <v>1</v>
      </c>
      <c r="W159" s="414">
        <v>1</v>
      </c>
      <c r="X159" s="414">
        <v>1</v>
      </c>
      <c r="Y159" s="414">
        <v>1</v>
      </c>
      <c r="Z159" s="414"/>
    </row>
    <row r="160" spans="1:26" s="413" customFormat="1" ht="11.25" customHeight="1" x14ac:dyDescent="0.25">
      <c r="B160" s="431">
        <v>157</v>
      </c>
      <c r="C160" s="437" t="s">
        <v>1112</v>
      </c>
      <c r="D160" s="438" t="s">
        <v>1114</v>
      </c>
      <c r="E160" s="431" t="s">
        <v>1733</v>
      </c>
      <c r="F160" s="512" t="s">
        <v>1841</v>
      </c>
      <c r="G160" s="439"/>
      <c r="H160" s="439"/>
      <c r="I160" s="440"/>
      <c r="J160" s="414"/>
      <c r="L160" s="414">
        <v>2</v>
      </c>
      <c r="M160" s="414"/>
      <c r="N160" s="414"/>
      <c r="O160" s="386">
        <f t="shared" si="3"/>
        <v>1</v>
      </c>
      <c r="P160" s="414">
        <v>1</v>
      </c>
      <c r="Q160" s="414">
        <v>1</v>
      </c>
      <c r="R160" s="414">
        <v>1</v>
      </c>
      <c r="S160" s="414">
        <v>1</v>
      </c>
      <c r="T160" s="414">
        <v>1</v>
      </c>
      <c r="U160" s="414"/>
      <c r="V160" s="414">
        <v>1</v>
      </c>
      <c r="W160" s="414">
        <v>1</v>
      </c>
      <c r="X160" s="414">
        <v>1</v>
      </c>
      <c r="Y160" s="414">
        <v>1</v>
      </c>
      <c r="Z160" s="414"/>
    </row>
    <row r="161" spans="2:26" s="413" customFormat="1" ht="11.25" customHeight="1" x14ac:dyDescent="0.25">
      <c r="B161" s="431">
        <v>158</v>
      </c>
      <c r="C161" s="437" t="s">
        <v>1112</v>
      </c>
      <c r="D161" s="438" t="s">
        <v>1115</v>
      </c>
      <c r="E161" s="431" t="s">
        <v>1733</v>
      </c>
      <c r="F161" s="512" t="s">
        <v>1841</v>
      </c>
      <c r="G161" s="439"/>
      <c r="H161" s="439"/>
      <c r="I161" s="440"/>
      <c r="J161" s="414"/>
      <c r="L161" s="414">
        <v>2</v>
      </c>
      <c r="M161" s="414"/>
      <c r="N161" s="414"/>
      <c r="O161" s="386">
        <f t="shared" si="3"/>
        <v>1</v>
      </c>
      <c r="P161" s="414">
        <v>1</v>
      </c>
      <c r="Q161" s="414">
        <v>1</v>
      </c>
      <c r="R161" s="414">
        <v>1</v>
      </c>
      <c r="S161" s="414">
        <v>1</v>
      </c>
      <c r="T161" s="414">
        <v>1</v>
      </c>
      <c r="U161" s="414"/>
      <c r="V161" s="414">
        <v>1</v>
      </c>
      <c r="W161" s="414">
        <v>1</v>
      </c>
      <c r="X161" s="414">
        <v>1</v>
      </c>
      <c r="Y161" s="414">
        <v>1</v>
      </c>
      <c r="Z161" s="414"/>
    </row>
    <row r="162" spans="2:26" s="413" customFormat="1" ht="11.25" customHeight="1" x14ac:dyDescent="0.25">
      <c r="B162" s="431">
        <v>159</v>
      </c>
      <c r="C162" s="437" t="s">
        <v>1112</v>
      </c>
      <c r="D162" s="438" t="s">
        <v>1116</v>
      </c>
      <c r="E162" s="431" t="s">
        <v>1733</v>
      </c>
      <c r="F162" s="512" t="s">
        <v>1841</v>
      </c>
      <c r="G162" s="439"/>
      <c r="H162" s="439"/>
      <c r="I162" s="440"/>
      <c r="J162" s="414"/>
      <c r="L162" s="414">
        <v>2</v>
      </c>
      <c r="M162" s="414"/>
      <c r="N162" s="414"/>
      <c r="O162" s="386">
        <f t="shared" si="3"/>
        <v>1</v>
      </c>
      <c r="P162" s="414">
        <v>1</v>
      </c>
      <c r="Q162" s="414">
        <v>1</v>
      </c>
      <c r="R162" s="414">
        <v>1</v>
      </c>
      <c r="S162" s="414">
        <v>1</v>
      </c>
      <c r="T162" s="414">
        <v>1</v>
      </c>
      <c r="U162" s="414"/>
      <c r="V162" s="414">
        <v>1</v>
      </c>
      <c r="W162" s="414">
        <v>1</v>
      </c>
      <c r="X162" s="414">
        <v>1</v>
      </c>
      <c r="Y162" s="414">
        <v>1</v>
      </c>
      <c r="Z162" s="414"/>
    </row>
    <row r="163" spans="2:26" s="413" customFormat="1" ht="11.25" customHeight="1" x14ac:dyDescent="0.25">
      <c r="B163" s="431">
        <v>160</v>
      </c>
      <c r="C163" s="437" t="s">
        <v>1117</v>
      </c>
      <c r="D163" s="438" t="s">
        <v>1118</v>
      </c>
      <c r="E163" s="431" t="s">
        <v>1733</v>
      </c>
      <c r="F163" s="512" t="s">
        <v>1841</v>
      </c>
      <c r="G163" s="439"/>
      <c r="H163" s="439"/>
      <c r="I163" s="440"/>
      <c r="J163" s="414"/>
      <c r="L163" s="414">
        <v>2</v>
      </c>
      <c r="M163" s="414"/>
      <c r="N163" s="414"/>
      <c r="O163" s="386">
        <f t="shared" si="3"/>
        <v>1</v>
      </c>
      <c r="P163" s="414">
        <v>0</v>
      </c>
      <c r="Q163" s="414">
        <v>0</v>
      </c>
      <c r="R163" s="414">
        <v>1</v>
      </c>
      <c r="S163" s="414">
        <v>1</v>
      </c>
      <c r="T163" s="414">
        <v>1</v>
      </c>
      <c r="U163" s="414"/>
      <c r="V163" s="414">
        <v>0</v>
      </c>
      <c r="W163" s="414">
        <v>1</v>
      </c>
      <c r="X163" s="414">
        <v>1</v>
      </c>
      <c r="Y163" s="414">
        <v>1</v>
      </c>
      <c r="Z163" s="414"/>
    </row>
    <row r="164" spans="2:26" s="413" customFormat="1" ht="11.25" customHeight="1" x14ac:dyDescent="0.25">
      <c r="B164" s="431">
        <v>161</v>
      </c>
      <c r="C164" s="437" t="s">
        <v>1119</v>
      </c>
      <c r="D164" s="438" t="s">
        <v>1120</v>
      </c>
      <c r="E164" s="431" t="s">
        <v>1733</v>
      </c>
      <c r="F164" s="512" t="s">
        <v>1841</v>
      </c>
      <c r="G164" s="439"/>
      <c r="H164" s="439"/>
      <c r="I164" s="440"/>
      <c r="J164" s="414"/>
      <c r="K164" s="413" t="s">
        <v>1121</v>
      </c>
      <c r="L164" s="414">
        <v>2</v>
      </c>
      <c r="M164" s="414"/>
      <c r="N164" s="414"/>
      <c r="O164" s="386">
        <f t="shared" si="3"/>
        <v>1</v>
      </c>
      <c r="P164" s="414">
        <v>0</v>
      </c>
      <c r="Q164" s="414">
        <v>0</v>
      </c>
      <c r="R164" s="414">
        <v>1</v>
      </c>
      <c r="S164" s="414">
        <v>1</v>
      </c>
      <c r="T164" s="414">
        <v>1</v>
      </c>
      <c r="U164" s="414"/>
      <c r="V164" s="414">
        <v>0</v>
      </c>
      <c r="W164" s="414">
        <v>1</v>
      </c>
      <c r="X164" s="414">
        <v>1</v>
      </c>
      <c r="Y164" s="414">
        <v>1</v>
      </c>
      <c r="Z164" s="414"/>
    </row>
    <row r="165" spans="2:26" s="413" customFormat="1" ht="11.25" customHeight="1" x14ac:dyDescent="0.25">
      <c r="B165" s="431">
        <v>162</v>
      </c>
      <c r="C165" s="437" t="s">
        <v>1122</v>
      </c>
      <c r="D165" s="438" t="s">
        <v>365</v>
      </c>
      <c r="E165" s="431" t="s">
        <v>1123</v>
      </c>
      <c r="F165" s="448" t="str">
        <f>'MT-ETUS'!M173&amp;" - "&amp;'MT-ETUS'!Q173</f>
        <v xml:space="preserve">- - </v>
      </c>
      <c r="G165" s="439"/>
      <c r="H165" s="439"/>
      <c r="I165" s="440"/>
      <c r="J165" s="414"/>
      <c r="L165" s="414">
        <v>5</v>
      </c>
      <c r="M165" s="414"/>
      <c r="N165" s="414"/>
      <c r="O165" s="386">
        <f t="shared" si="3"/>
        <v>1</v>
      </c>
      <c r="P165" s="414">
        <v>1</v>
      </c>
      <c r="Q165" s="414">
        <v>1</v>
      </c>
      <c r="R165" s="414">
        <v>1</v>
      </c>
      <c r="S165" s="414">
        <v>1</v>
      </c>
      <c r="T165" s="414">
        <v>1</v>
      </c>
      <c r="U165" s="414"/>
      <c r="V165" s="414">
        <v>1</v>
      </c>
      <c r="W165" s="414">
        <v>1</v>
      </c>
      <c r="X165" s="414">
        <v>1</v>
      </c>
      <c r="Y165" s="414">
        <v>1</v>
      </c>
      <c r="Z165" s="414"/>
    </row>
    <row r="166" spans="2:26" s="413" customFormat="1" ht="11.25" customHeight="1" x14ac:dyDescent="0.25">
      <c r="B166" s="431">
        <v>163</v>
      </c>
      <c r="C166" s="437" t="s">
        <v>1124</v>
      </c>
      <c r="D166" s="438" t="s">
        <v>89</v>
      </c>
      <c r="E166" s="431" t="s">
        <v>1125</v>
      </c>
      <c r="F166" s="448" t="str">
        <f>'MT-ETUS'!M174&amp;" - "&amp;'MT-ETUS'!Q174</f>
        <v xml:space="preserve">- - </v>
      </c>
      <c r="G166" s="439"/>
      <c r="H166" s="439"/>
      <c r="I166" s="440"/>
      <c r="J166" s="414"/>
      <c r="L166" s="414">
        <v>6</v>
      </c>
      <c r="M166" s="414"/>
      <c r="N166" s="414">
        <v>1</v>
      </c>
      <c r="O166" s="386">
        <f t="shared" si="3"/>
        <v>1</v>
      </c>
      <c r="P166" s="414">
        <v>0</v>
      </c>
      <c r="Q166" s="414">
        <v>1</v>
      </c>
      <c r="R166" s="414">
        <v>1</v>
      </c>
      <c r="S166" s="414">
        <v>1</v>
      </c>
      <c r="T166" s="414">
        <v>1</v>
      </c>
      <c r="U166" s="414"/>
      <c r="V166" s="414">
        <v>1</v>
      </c>
      <c r="W166" s="414">
        <v>1</v>
      </c>
      <c r="X166" s="414">
        <v>1</v>
      </c>
      <c r="Y166" s="414">
        <v>1</v>
      </c>
      <c r="Z166" s="414"/>
    </row>
    <row r="167" spans="2:26" s="413" customFormat="1" ht="11.25" customHeight="1" x14ac:dyDescent="0.25">
      <c r="B167" s="431">
        <v>164</v>
      </c>
      <c r="C167" s="437" t="s">
        <v>1126</v>
      </c>
      <c r="D167" s="438" t="s">
        <v>1127</v>
      </c>
      <c r="E167" s="431" t="s">
        <v>1735</v>
      </c>
      <c r="F167" s="512" t="s">
        <v>1842</v>
      </c>
      <c r="G167" s="439"/>
      <c r="H167" s="439"/>
      <c r="I167" s="440"/>
      <c r="J167" s="414"/>
      <c r="L167" s="414">
        <v>2</v>
      </c>
      <c r="M167" s="414"/>
      <c r="N167" s="414"/>
      <c r="O167" s="386">
        <f t="shared" si="3"/>
        <v>1</v>
      </c>
      <c r="P167" s="414">
        <v>0</v>
      </c>
      <c r="Q167" s="414">
        <v>0</v>
      </c>
      <c r="R167" s="414">
        <v>1</v>
      </c>
      <c r="S167" s="414">
        <v>1</v>
      </c>
      <c r="T167" s="414">
        <v>1</v>
      </c>
      <c r="U167" s="414"/>
      <c r="V167" s="414">
        <v>0</v>
      </c>
      <c r="W167" s="414">
        <v>1</v>
      </c>
      <c r="X167" s="414">
        <v>1</v>
      </c>
      <c r="Y167" s="414">
        <v>1</v>
      </c>
      <c r="Z167" s="414"/>
    </row>
    <row r="168" spans="2:26" s="413" customFormat="1" ht="11.25" customHeight="1" x14ac:dyDescent="0.25">
      <c r="B168" s="431">
        <v>165</v>
      </c>
      <c r="C168" s="437" t="s">
        <v>1126</v>
      </c>
      <c r="D168" s="438" t="s">
        <v>1128</v>
      </c>
      <c r="E168" s="431" t="s">
        <v>1736</v>
      </c>
      <c r="F168" s="512" t="s">
        <v>817</v>
      </c>
      <c r="G168" s="439"/>
      <c r="H168" s="439"/>
      <c r="I168" s="440"/>
      <c r="J168" s="414"/>
      <c r="L168" s="414">
        <v>2</v>
      </c>
      <c r="M168" s="414"/>
      <c r="N168" s="414"/>
      <c r="O168" s="386">
        <f t="shared" si="3"/>
        <v>1</v>
      </c>
      <c r="P168" s="414">
        <v>0</v>
      </c>
      <c r="Q168" s="414">
        <v>0</v>
      </c>
      <c r="R168" s="414">
        <v>1</v>
      </c>
      <c r="S168" s="414">
        <v>1</v>
      </c>
      <c r="T168" s="414">
        <v>1</v>
      </c>
      <c r="U168" s="414"/>
      <c r="V168" s="414">
        <v>0</v>
      </c>
      <c r="W168" s="414">
        <v>1</v>
      </c>
      <c r="X168" s="414">
        <v>1</v>
      </c>
      <c r="Y168" s="414">
        <v>1</v>
      </c>
      <c r="Z168" s="414"/>
    </row>
    <row r="169" spans="2:26" s="413" customFormat="1" ht="11.25" customHeight="1" x14ac:dyDescent="0.25">
      <c r="B169" s="431">
        <v>166</v>
      </c>
      <c r="C169" s="437" t="s">
        <v>1129</v>
      </c>
      <c r="D169" s="438" t="s">
        <v>1130</v>
      </c>
      <c r="E169" s="431" t="s">
        <v>1737</v>
      </c>
      <c r="F169" s="512" t="s">
        <v>817</v>
      </c>
      <c r="G169" s="439"/>
      <c r="H169" s="439"/>
      <c r="I169" s="440"/>
      <c r="J169" s="414"/>
      <c r="L169" s="414">
        <v>2</v>
      </c>
      <c r="M169" s="414"/>
      <c r="N169" s="414">
        <v>1</v>
      </c>
      <c r="O169" s="386">
        <f t="shared" si="3"/>
        <v>1</v>
      </c>
      <c r="P169" s="414">
        <v>0</v>
      </c>
      <c r="Q169" s="414">
        <v>0</v>
      </c>
      <c r="R169" s="414">
        <v>1</v>
      </c>
      <c r="S169" s="414">
        <v>1</v>
      </c>
      <c r="T169" s="414">
        <v>1</v>
      </c>
      <c r="U169" s="414"/>
      <c r="V169" s="414">
        <v>0</v>
      </c>
      <c r="W169" s="414">
        <v>1</v>
      </c>
      <c r="X169" s="414">
        <v>1</v>
      </c>
      <c r="Y169" s="414">
        <v>1</v>
      </c>
      <c r="Z169" s="414"/>
    </row>
    <row r="170" spans="2:26" s="413" customFormat="1" ht="11.25" customHeight="1" x14ac:dyDescent="0.25">
      <c r="B170" s="431">
        <v>167</v>
      </c>
      <c r="C170" s="437" t="s">
        <v>1131</v>
      </c>
      <c r="D170" s="438" t="s">
        <v>1132</v>
      </c>
      <c r="E170" s="431" t="s">
        <v>1738</v>
      </c>
      <c r="F170" s="448" t="str">
        <f>'MT-ETUS'!M175&amp;" - "&amp;'MT-ETUS'!Q175</f>
        <v xml:space="preserve">- - </v>
      </c>
      <c r="G170" s="439"/>
      <c r="H170" s="439"/>
      <c r="I170" s="440"/>
      <c r="J170" s="414"/>
      <c r="K170" s="413" t="s">
        <v>1739</v>
      </c>
      <c r="L170" s="414">
        <v>4</v>
      </c>
      <c r="M170" s="414"/>
      <c r="N170" s="414">
        <v>1</v>
      </c>
      <c r="O170" s="386">
        <f t="shared" si="3"/>
        <v>1</v>
      </c>
      <c r="P170" s="414">
        <v>0</v>
      </c>
      <c r="Q170" s="414">
        <v>0</v>
      </c>
      <c r="R170" s="414">
        <v>1</v>
      </c>
      <c r="S170" s="414">
        <v>1</v>
      </c>
      <c r="T170" s="414">
        <v>1</v>
      </c>
      <c r="U170" s="414"/>
      <c r="V170" s="414">
        <v>0</v>
      </c>
      <c r="W170" s="414">
        <v>1</v>
      </c>
      <c r="X170" s="414">
        <v>1</v>
      </c>
      <c r="Y170" s="414">
        <v>1</v>
      </c>
      <c r="Z170" s="414"/>
    </row>
    <row r="171" spans="2:26" s="413" customFormat="1" ht="11.25" customHeight="1" x14ac:dyDescent="0.25">
      <c r="B171" s="431">
        <v>168</v>
      </c>
      <c r="C171" s="437" t="s">
        <v>1133</v>
      </c>
      <c r="D171" s="438" t="s">
        <v>225</v>
      </c>
      <c r="E171" s="431" t="s">
        <v>1134</v>
      </c>
      <c r="F171" s="448" t="str">
        <f>'MT-ETUS'!M176&amp;" - "&amp;'MT-ETUS'!Q176</f>
        <v xml:space="preserve">- - </v>
      </c>
      <c r="G171" s="439"/>
      <c r="H171" s="439"/>
      <c r="I171" s="440"/>
      <c r="J171" s="414"/>
      <c r="K171" s="413" t="s">
        <v>1135</v>
      </c>
      <c r="L171" s="414">
        <v>4</v>
      </c>
      <c r="M171" s="414"/>
      <c r="N171" s="414">
        <v>1</v>
      </c>
      <c r="O171" s="386">
        <f t="shared" si="3"/>
        <v>1</v>
      </c>
      <c r="P171" s="414">
        <v>0</v>
      </c>
      <c r="Q171" s="414">
        <v>0</v>
      </c>
      <c r="R171" s="414">
        <v>1</v>
      </c>
      <c r="S171" s="414">
        <v>1</v>
      </c>
      <c r="T171" s="414">
        <v>1</v>
      </c>
      <c r="U171" s="414"/>
      <c r="V171" s="414">
        <v>0</v>
      </c>
      <c r="W171" s="414">
        <v>1</v>
      </c>
      <c r="X171" s="414">
        <v>1</v>
      </c>
      <c r="Y171" s="414">
        <v>1</v>
      </c>
      <c r="Z171" s="414"/>
    </row>
    <row r="172" spans="2:26" s="413" customFormat="1" ht="11.25" customHeight="1" x14ac:dyDescent="0.25">
      <c r="B172" s="431">
        <v>169</v>
      </c>
      <c r="C172" s="433" t="s">
        <v>238</v>
      </c>
      <c r="D172" s="433" t="s">
        <v>451</v>
      </c>
      <c r="E172" s="434" t="s">
        <v>1136</v>
      </c>
      <c r="F172" s="508" t="str">
        <f>'MT-ETUS'!K19&amp;" - "&amp;'MT-ETUS'!Q19</f>
        <v xml:space="preserve"> - </v>
      </c>
      <c r="G172" s="453"/>
      <c r="H172" s="453"/>
      <c r="I172" s="454"/>
      <c r="J172" s="414"/>
      <c r="K172" s="413" t="s">
        <v>1137</v>
      </c>
      <c r="L172" s="414">
        <v>0</v>
      </c>
      <c r="M172" s="414"/>
      <c r="N172" s="414"/>
      <c r="O172" s="386">
        <f t="shared" si="3"/>
        <v>1</v>
      </c>
      <c r="P172" s="414">
        <v>0</v>
      </c>
      <c r="Q172" s="414">
        <v>0</v>
      </c>
      <c r="R172" s="414">
        <v>1</v>
      </c>
      <c r="S172" s="414">
        <v>1</v>
      </c>
      <c r="T172" s="414">
        <v>1</v>
      </c>
      <c r="U172" s="414"/>
      <c r="V172" s="414">
        <v>0</v>
      </c>
      <c r="W172" s="414">
        <v>1</v>
      </c>
      <c r="X172" s="414">
        <v>1</v>
      </c>
      <c r="Y172" s="414">
        <v>1</v>
      </c>
      <c r="Z172" s="414"/>
    </row>
    <row r="173" spans="2:26" s="413" customFormat="1" ht="11.25" customHeight="1" x14ac:dyDescent="0.25">
      <c r="B173" s="431">
        <v>170</v>
      </c>
      <c r="C173" s="437" t="s">
        <v>1138</v>
      </c>
      <c r="D173" s="438" t="s">
        <v>823</v>
      </c>
      <c r="E173" s="431" t="s">
        <v>1139</v>
      </c>
      <c r="F173" s="448">
        <f>'MT-ETUS'!M259</f>
        <v>0</v>
      </c>
      <c r="G173" s="457"/>
      <c r="H173" s="457"/>
      <c r="I173" s="458"/>
      <c r="J173" s="414"/>
      <c r="K173" s="413" t="s">
        <v>1140</v>
      </c>
      <c r="L173" s="414">
        <v>5</v>
      </c>
      <c r="M173" s="414"/>
      <c r="N173" s="414"/>
      <c r="O173" s="386">
        <f t="shared" si="3"/>
        <v>1</v>
      </c>
      <c r="P173" s="414">
        <v>0</v>
      </c>
      <c r="Q173" s="414">
        <v>1</v>
      </c>
      <c r="R173" s="414">
        <v>1</v>
      </c>
      <c r="S173" s="414">
        <v>1</v>
      </c>
      <c r="T173" s="414">
        <v>1</v>
      </c>
      <c r="U173" s="414"/>
      <c r="V173" s="414">
        <v>1</v>
      </c>
      <c r="W173" s="414">
        <v>1</v>
      </c>
      <c r="X173" s="414">
        <v>1</v>
      </c>
      <c r="Y173" s="414">
        <v>1</v>
      </c>
      <c r="Z173" s="414"/>
    </row>
    <row r="174" spans="2:26" s="413" customFormat="1" ht="11.25" customHeight="1" x14ac:dyDescent="0.25">
      <c r="B174" s="431">
        <v>171</v>
      </c>
      <c r="C174" s="437" t="s">
        <v>1138</v>
      </c>
      <c r="D174" s="438" t="s">
        <v>824</v>
      </c>
      <c r="E174" s="431" t="s">
        <v>1141</v>
      </c>
      <c r="F174" s="448" t="str">
        <f>'MT-ETUS'!M260&amp;" - "&amp;'MT-ETUS'!Q260</f>
        <v xml:space="preserve">- - </v>
      </c>
      <c r="G174" s="457"/>
      <c r="H174" s="457"/>
      <c r="I174" s="458"/>
      <c r="J174" s="414"/>
      <c r="K174" s="413" t="s">
        <v>1142</v>
      </c>
      <c r="L174" s="414">
        <v>5</v>
      </c>
      <c r="M174" s="414"/>
      <c r="N174" s="414"/>
      <c r="O174" s="386">
        <f t="shared" si="3"/>
        <v>1</v>
      </c>
      <c r="P174" s="414">
        <v>0</v>
      </c>
      <c r="Q174" s="414">
        <v>0</v>
      </c>
      <c r="R174" s="414">
        <v>1</v>
      </c>
      <c r="S174" s="414">
        <v>1</v>
      </c>
      <c r="T174" s="414">
        <v>1</v>
      </c>
      <c r="U174" s="414"/>
      <c r="V174" s="414">
        <v>0</v>
      </c>
      <c r="W174" s="414">
        <v>1</v>
      </c>
      <c r="X174" s="414">
        <v>1</v>
      </c>
      <c r="Y174" s="414">
        <v>1</v>
      </c>
      <c r="Z174" s="414"/>
    </row>
    <row r="175" spans="2:26" s="413" customFormat="1" ht="11.25" customHeight="1" x14ac:dyDescent="0.25">
      <c r="B175" s="431">
        <v>172</v>
      </c>
      <c r="C175" s="437" t="s">
        <v>1138</v>
      </c>
      <c r="D175" s="438" t="s">
        <v>284</v>
      </c>
      <c r="E175" s="431" t="s">
        <v>1143</v>
      </c>
      <c r="F175" s="448" t="str">
        <f>'MT-ETUS'!M261&amp;" - "&amp;'MT-ETUS'!Q261</f>
        <v xml:space="preserve">- - </v>
      </c>
      <c r="G175" s="457"/>
      <c r="H175" s="457"/>
      <c r="I175" s="458"/>
      <c r="J175" s="414"/>
      <c r="K175" s="413" t="s">
        <v>1144</v>
      </c>
      <c r="L175" s="414">
        <v>4</v>
      </c>
      <c r="M175" s="414"/>
      <c r="N175" s="414"/>
      <c r="O175" s="386">
        <f t="shared" si="3"/>
        <v>1</v>
      </c>
      <c r="P175" s="414">
        <v>0</v>
      </c>
      <c r="Q175" s="414">
        <v>0</v>
      </c>
      <c r="R175" s="414">
        <v>1</v>
      </c>
      <c r="S175" s="414">
        <v>1</v>
      </c>
      <c r="T175" s="414">
        <v>1</v>
      </c>
      <c r="U175" s="414"/>
      <c r="V175" s="414">
        <v>0</v>
      </c>
      <c r="W175" s="414">
        <v>1</v>
      </c>
      <c r="X175" s="414">
        <v>1</v>
      </c>
      <c r="Y175" s="414">
        <v>1</v>
      </c>
      <c r="Z175" s="414"/>
    </row>
    <row r="176" spans="2:26" s="413" customFormat="1" ht="11.25" customHeight="1" x14ac:dyDescent="0.25">
      <c r="B176" s="431">
        <v>173</v>
      </c>
      <c r="C176" s="437" t="s">
        <v>1145</v>
      </c>
      <c r="D176" s="438" t="s">
        <v>825</v>
      </c>
      <c r="E176" s="431" t="s">
        <v>1146</v>
      </c>
      <c r="F176" s="448" t="str">
        <f>'MT-ETUS'!M262&amp;" - "&amp;'MT-ETUS'!Q262</f>
        <v xml:space="preserve"> - </v>
      </c>
      <c r="G176" s="457"/>
      <c r="H176" s="457"/>
      <c r="I176" s="458"/>
      <c r="J176" s="414"/>
      <c r="K176" s="413" t="s">
        <v>1147</v>
      </c>
      <c r="L176" s="414">
        <v>4</v>
      </c>
      <c r="M176" s="414"/>
      <c r="N176" s="414"/>
      <c r="O176" s="386">
        <f t="shared" si="3"/>
        <v>1</v>
      </c>
      <c r="P176" s="414">
        <v>0</v>
      </c>
      <c r="Q176" s="414">
        <v>0</v>
      </c>
      <c r="R176" s="414">
        <v>1</v>
      </c>
      <c r="S176" s="414">
        <v>1</v>
      </c>
      <c r="T176" s="414">
        <v>1</v>
      </c>
      <c r="U176" s="414"/>
      <c r="V176" s="414">
        <v>0</v>
      </c>
      <c r="W176" s="414">
        <v>1</v>
      </c>
      <c r="X176" s="414">
        <v>1</v>
      </c>
      <c r="Y176" s="414">
        <v>1</v>
      </c>
      <c r="Z176" s="414"/>
    </row>
    <row r="177" spans="2:26" s="413" customFormat="1" ht="11.25" customHeight="1" x14ac:dyDescent="0.25">
      <c r="B177" s="431">
        <v>174</v>
      </c>
      <c r="C177" s="437" t="s">
        <v>1145</v>
      </c>
      <c r="D177" s="438" t="s">
        <v>1148</v>
      </c>
      <c r="E177" s="431" t="s">
        <v>1149</v>
      </c>
      <c r="F177" s="448" t="str">
        <f>'MT-ETUS'!M263&amp;" - "&amp;'MT-ETUS'!Q263</f>
        <v xml:space="preserve"> - </v>
      </c>
      <c r="G177" s="457"/>
      <c r="H177" s="457"/>
      <c r="I177" s="458"/>
      <c r="J177" s="414"/>
      <c r="K177" s="413" t="s">
        <v>1150</v>
      </c>
      <c r="L177" s="414">
        <v>4</v>
      </c>
      <c r="M177" s="414"/>
      <c r="N177" s="414"/>
      <c r="O177" s="386">
        <f t="shared" si="3"/>
        <v>1</v>
      </c>
      <c r="P177" s="414">
        <v>0</v>
      </c>
      <c r="Q177" s="414">
        <v>1</v>
      </c>
      <c r="R177" s="414">
        <v>1</v>
      </c>
      <c r="S177" s="414">
        <v>1</v>
      </c>
      <c r="T177" s="414">
        <v>1</v>
      </c>
      <c r="U177" s="414"/>
      <c r="V177" s="414">
        <v>1</v>
      </c>
      <c r="W177" s="414">
        <v>1</v>
      </c>
      <c r="X177" s="414">
        <v>1</v>
      </c>
      <c r="Y177" s="414">
        <v>1</v>
      </c>
      <c r="Z177" s="414"/>
    </row>
    <row r="178" spans="2:26" s="413" customFormat="1" ht="11.25" customHeight="1" x14ac:dyDescent="0.25">
      <c r="B178" s="431">
        <v>175</v>
      </c>
      <c r="C178" s="437" t="s">
        <v>1151</v>
      </c>
      <c r="D178" s="438" t="s">
        <v>417</v>
      </c>
      <c r="E178" s="431" t="s">
        <v>930</v>
      </c>
      <c r="F178" s="448" t="str">
        <f>'MT-ETUS'!M264&amp;" - "&amp;'MT-ETUS'!Q264</f>
        <v xml:space="preserve">- - </v>
      </c>
      <c r="G178" s="457"/>
      <c r="H178" s="457"/>
      <c r="I178" s="458"/>
      <c r="J178" s="414"/>
      <c r="K178" s="413" t="s">
        <v>1152</v>
      </c>
      <c r="L178" s="414">
        <v>5</v>
      </c>
      <c r="M178" s="414"/>
      <c r="N178" s="414"/>
      <c r="O178" s="386">
        <f t="shared" si="3"/>
        <v>1</v>
      </c>
      <c r="P178" s="414">
        <v>0</v>
      </c>
      <c r="Q178" s="414">
        <v>1</v>
      </c>
      <c r="R178" s="414">
        <v>1</v>
      </c>
      <c r="S178" s="414">
        <v>1</v>
      </c>
      <c r="T178" s="414">
        <v>1</v>
      </c>
      <c r="U178" s="414"/>
      <c r="V178" s="414">
        <v>1</v>
      </c>
      <c r="W178" s="414">
        <v>1</v>
      </c>
      <c r="X178" s="414">
        <v>1</v>
      </c>
      <c r="Y178" s="414">
        <v>1</v>
      </c>
      <c r="Z178" s="414"/>
    </row>
    <row r="179" spans="2:26" s="413" customFormat="1" ht="11.25" customHeight="1" x14ac:dyDescent="0.25">
      <c r="B179" s="431">
        <v>176</v>
      </c>
      <c r="C179" s="437" t="s">
        <v>1151</v>
      </c>
      <c r="D179" s="438" t="s">
        <v>467</v>
      </c>
      <c r="E179" s="431" t="s">
        <v>1153</v>
      </c>
      <c r="F179" s="448" t="str">
        <f>'MT-ETUS'!M265&amp;" - "&amp;'MT-ETUS'!Q265</f>
        <v xml:space="preserve">- - </v>
      </c>
      <c r="G179" s="457"/>
      <c r="H179" s="457"/>
      <c r="I179" s="458"/>
      <c r="J179" s="414"/>
      <c r="K179" s="413" t="s">
        <v>1154</v>
      </c>
      <c r="L179" s="414">
        <v>5</v>
      </c>
      <c r="M179" s="414"/>
      <c r="N179" s="414">
        <v>1</v>
      </c>
      <c r="O179" s="386">
        <f t="shared" si="3"/>
        <v>1</v>
      </c>
      <c r="P179" s="414">
        <v>0</v>
      </c>
      <c r="Q179" s="414">
        <v>1</v>
      </c>
      <c r="R179" s="414">
        <v>1</v>
      </c>
      <c r="S179" s="414">
        <v>1</v>
      </c>
      <c r="T179" s="414">
        <v>1</v>
      </c>
      <c r="U179" s="414"/>
      <c r="V179" s="414">
        <v>1</v>
      </c>
      <c r="W179" s="414">
        <v>1</v>
      </c>
      <c r="X179" s="414">
        <v>1</v>
      </c>
      <c r="Y179" s="414">
        <v>1</v>
      </c>
      <c r="Z179" s="414"/>
    </row>
    <row r="180" spans="2:26" s="413" customFormat="1" ht="11.25" customHeight="1" x14ac:dyDescent="0.25">
      <c r="B180" s="431">
        <v>177</v>
      </c>
      <c r="C180" s="437" t="s">
        <v>1155</v>
      </c>
      <c r="D180" s="438" t="s">
        <v>294</v>
      </c>
      <c r="E180" s="431" t="s">
        <v>1156</v>
      </c>
      <c r="F180" s="448" t="str">
        <f>'MT-ETUS'!M266&amp;" - "&amp;'MT-ETUS'!W266</f>
        <v xml:space="preserve">- - </v>
      </c>
      <c r="G180" s="457"/>
      <c r="H180" s="457"/>
      <c r="I180" s="458"/>
      <c r="J180" s="414"/>
      <c r="K180" s="413" t="s">
        <v>1157</v>
      </c>
      <c r="L180" s="414">
        <v>5</v>
      </c>
      <c r="M180" s="414"/>
      <c r="N180" s="414"/>
      <c r="O180" s="386">
        <f t="shared" si="3"/>
        <v>1</v>
      </c>
      <c r="P180" s="414">
        <v>0</v>
      </c>
      <c r="Q180" s="414">
        <v>1</v>
      </c>
      <c r="R180" s="414">
        <v>1</v>
      </c>
      <c r="S180" s="414">
        <v>1</v>
      </c>
      <c r="T180" s="414">
        <v>1</v>
      </c>
      <c r="U180" s="414"/>
      <c r="V180" s="414">
        <v>1</v>
      </c>
      <c r="W180" s="414">
        <v>1</v>
      </c>
      <c r="X180" s="414">
        <v>1</v>
      </c>
      <c r="Y180" s="414">
        <v>1</v>
      </c>
      <c r="Z180" s="414"/>
    </row>
    <row r="181" spans="2:26" s="413" customFormat="1" ht="11.25" customHeight="1" x14ac:dyDescent="0.25">
      <c r="B181" s="431">
        <v>178</v>
      </c>
      <c r="C181" s="437" t="s">
        <v>1158</v>
      </c>
      <c r="D181" s="438" t="s">
        <v>293</v>
      </c>
      <c r="E181" s="431" t="s">
        <v>1159</v>
      </c>
      <c r="F181" s="448" t="str">
        <f>'MT-ETUS'!M267&amp;" - "&amp;'MT-ETUS'!Q267</f>
        <v xml:space="preserve">- - </v>
      </c>
      <c r="G181" s="457"/>
      <c r="H181" s="457"/>
      <c r="I181" s="458"/>
      <c r="J181" s="414"/>
      <c r="K181" s="413" t="s">
        <v>1160</v>
      </c>
      <c r="L181" s="414">
        <v>5</v>
      </c>
      <c r="M181" s="414"/>
      <c r="N181" s="414"/>
      <c r="O181" s="386">
        <f t="shared" si="3"/>
        <v>1</v>
      </c>
      <c r="P181" s="414">
        <v>0</v>
      </c>
      <c r="Q181" s="414">
        <v>1</v>
      </c>
      <c r="R181" s="414">
        <v>1</v>
      </c>
      <c r="S181" s="414">
        <v>1</v>
      </c>
      <c r="T181" s="414">
        <v>1</v>
      </c>
      <c r="U181" s="414"/>
      <c r="V181" s="414">
        <v>1</v>
      </c>
      <c r="W181" s="414">
        <v>1</v>
      </c>
      <c r="X181" s="414">
        <v>1</v>
      </c>
      <c r="Y181" s="414">
        <v>1</v>
      </c>
      <c r="Z181" s="414"/>
    </row>
    <row r="182" spans="2:26" s="413" customFormat="1" ht="11.25" customHeight="1" x14ac:dyDescent="0.25">
      <c r="B182" s="431">
        <v>179</v>
      </c>
      <c r="C182" s="432" t="s">
        <v>238</v>
      </c>
      <c r="D182" s="433" t="s">
        <v>224</v>
      </c>
      <c r="E182" s="434" t="s">
        <v>1161</v>
      </c>
      <c r="F182" s="508" t="str">
        <f>'MT-ETUS'!K20&amp;" - "&amp;'MT-ETUS'!Q20</f>
        <v xml:space="preserve">Nueva/o - </v>
      </c>
      <c r="G182" s="439"/>
      <c r="H182" s="439"/>
      <c r="I182" s="440"/>
      <c r="J182" s="414"/>
      <c r="K182" s="413" t="s">
        <v>1162</v>
      </c>
      <c r="L182" s="414">
        <v>0</v>
      </c>
      <c r="M182" s="414"/>
      <c r="N182" s="414"/>
      <c r="O182" s="386">
        <f t="shared" si="3"/>
        <v>1</v>
      </c>
      <c r="P182" s="414">
        <v>0</v>
      </c>
      <c r="Q182" s="414">
        <v>0</v>
      </c>
      <c r="R182" s="414">
        <v>1</v>
      </c>
      <c r="S182" s="414">
        <v>1</v>
      </c>
      <c r="T182" s="414">
        <v>1</v>
      </c>
      <c r="U182" s="414"/>
      <c r="V182" s="414">
        <v>0</v>
      </c>
      <c r="W182" s="414">
        <v>1</v>
      </c>
      <c r="X182" s="414">
        <v>1</v>
      </c>
      <c r="Y182" s="414">
        <v>1</v>
      </c>
      <c r="Z182" s="414"/>
    </row>
    <row r="183" spans="2:26" s="413" customFormat="1" ht="11.25" customHeight="1" x14ac:dyDescent="0.25">
      <c r="B183" s="431">
        <v>180</v>
      </c>
      <c r="C183" s="437" t="s">
        <v>1163</v>
      </c>
      <c r="D183" s="438" t="s">
        <v>436</v>
      </c>
      <c r="E183" s="431" t="s">
        <v>1164</v>
      </c>
      <c r="F183" s="448" t="str">
        <f>'MT-ETUS'!M316&amp;" - "&amp;'MT-ETUS'!Q316</f>
        <v xml:space="preserve">- - </v>
      </c>
      <c r="G183" s="439"/>
      <c r="H183" s="439"/>
      <c r="I183" s="440"/>
      <c r="J183" s="414"/>
      <c r="L183" s="414">
        <v>6</v>
      </c>
      <c r="M183" s="414"/>
      <c r="N183" s="414"/>
      <c r="O183" s="386">
        <f t="shared" si="3"/>
        <v>1</v>
      </c>
      <c r="P183" s="414">
        <v>0</v>
      </c>
      <c r="Q183" s="414">
        <v>1</v>
      </c>
      <c r="R183" s="414">
        <v>1</v>
      </c>
      <c r="S183" s="414">
        <v>1</v>
      </c>
      <c r="T183" s="414">
        <v>1</v>
      </c>
      <c r="U183" s="414"/>
      <c r="V183" s="414">
        <v>1</v>
      </c>
      <c r="W183" s="414">
        <v>1</v>
      </c>
      <c r="X183" s="414">
        <v>1</v>
      </c>
      <c r="Y183" s="414">
        <v>1</v>
      </c>
      <c r="Z183" s="414"/>
    </row>
    <row r="184" spans="2:26" s="413" customFormat="1" ht="11.25" customHeight="1" x14ac:dyDescent="0.25">
      <c r="B184" s="431">
        <v>181</v>
      </c>
      <c r="C184" s="437" t="s">
        <v>1163</v>
      </c>
      <c r="D184" s="438" t="s">
        <v>437</v>
      </c>
      <c r="E184" s="431" t="s">
        <v>1165</v>
      </c>
      <c r="F184" s="448" t="str">
        <f>'MT-ETUS'!M317&amp;" - "&amp;'MT-ETUS'!Q317</f>
        <v xml:space="preserve">- - </v>
      </c>
      <c r="G184" s="439"/>
      <c r="H184" s="439"/>
      <c r="I184" s="440"/>
      <c r="J184" s="414"/>
      <c r="L184" s="414">
        <v>4</v>
      </c>
      <c r="M184" s="414"/>
      <c r="N184" s="414"/>
      <c r="O184" s="386">
        <f t="shared" si="3"/>
        <v>1</v>
      </c>
      <c r="P184" s="414">
        <v>0</v>
      </c>
      <c r="Q184" s="414">
        <v>1</v>
      </c>
      <c r="R184" s="414">
        <v>1</v>
      </c>
      <c r="S184" s="414">
        <v>1</v>
      </c>
      <c r="T184" s="414">
        <v>1</v>
      </c>
      <c r="U184" s="414"/>
      <c r="V184" s="414">
        <v>1</v>
      </c>
      <c r="W184" s="414">
        <v>1</v>
      </c>
      <c r="X184" s="414">
        <v>1</v>
      </c>
      <c r="Y184" s="414">
        <v>1</v>
      </c>
      <c r="Z184" s="414"/>
    </row>
    <row r="185" spans="2:26" s="413" customFormat="1" ht="11.25" customHeight="1" x14ac:dyDescent="0.25">
      <c r="B185" s="431">
        <v>182</v>
      </c>
      <c r="C185" s="437" t="s">
        <v>1163</v>
      </c>
      <c r="D185" s="438" t="s">
        <v>431</v>
      </c>
      <c r="E185" s="431" t="s">
        <v>1166</v>
      </c>
      <c r="F185" s="448" t="str">
        <f>'MT-ETUS'!M318&amp;" - "&amp;'MT-ETUS'!Q318</f>
        <v xml:space="preserve">- - </v>
      </c>
      <c r="G185" s="439"/>
      <c r="H185" s="439"/>
      <c r="I185" s="440"/>
      <c r="J185" s="414"/>
      <c r="L185" s="414">
        <v>4</v>
      </c>
      <c r="M185" s="414"/>
      <c r="N185" s="414"/>
      <c r="O185" s="386">
        <f t="shared" si="3"/>
        <v>1</v>
      </c>
      <c r="P185" s="414">
        <v>0</v>
      </c>
      <c r="Q185" s="414">
        <v>1</v>
      </c>
      <c r="R185" s="414">
        <v>1</v>
      </c>
      <c r="S185" s="414">
        <v>1</v>
      </c>
      <c r="T185" s="414">
        <v>1</v>
      </c>
      <c r="U185" s="414"/>
      <c r="V185" s="414">
        <v>1</v>
      </c>
      <c r="W185" s="414">
        <v>1</v>
      </c>
      <c r="X185" s="414">
        <v>1</v>
      </c>
      <c r="Y185" s="414">
        <v>1</v>
      </c>
      <c r="Z185" s="414"/>
    </row>
    <row r="186" spans="2:26" s="413" customFormat="1" ht="11.25" customHeight="1" x14ac:dyDescent="0.25">
      <c r="B186" s="431">
        <v>183</v>
      </c>
      <c r="C186" s="437" t="s">
        <v>1163</v>
      </c>
      <c r="D186" s="438" t="s">
        <v>432</v>
      </c>
      <c r="E186" s="431" t="s">
        <v>1167</v>
      </c>
      <c r="F186" s="448" t="str">
        <f>'MT-ETUS'!M319&amp;" - "&amp;'MT-ETUS'!Q319</f>
        <v xml:space="preserve">- - </v>
      </c>
      <c r="G186" s="439"/>
      <c r="H186" s="439"/>
      <c r="I186" s="440"/>
      <c r="J186" s="414"/>
      <c r="L186" s="414">
        <v>4</v>
      </c>
      <c r="M186" s="414"/>
      <c r="N186" s="414"/>
      <c r="O186" s="386">
        <f t="shared" si="3"/>
        <v>1</v>
      </c>
      <c r="P186" s="414">
        <v>0</v>
      </c>
      <c r="Q186" s="414">
        <v>1</v>
      </c>
      <c r="R186" s="414">
        <v>1</v>
      </c>
      <c r="S186" s="414">
        <v>1</v>
      </c>
      <c r="T186" s="414">
        <v>1</v>
      </c>
      <c r="U186" s="414"/>
      <c r="V186" s="414">
        <v>1</v>
      </c>
      <c r="W186" s="414">
        <v>1</v>
      </c>
      <c r="X186" s="414">
        <v>1</v>
      </c>
      <c r="Y186" s="414">
        <v>1</v>
      </c>
      <c r="Z186" s="414"/>
    </row>
    <row r="187" spans="2:26" s="413" customFormat="1" ht="11.25" customHeight="1" x14ac:dyDescent="0.25">
      <c r="B187" s="431">
        <v>184</v>
      </c>
      <c r="C187" s="437" t="s">
        <v>1163</v>
      </c>
      <c r="D187" s="438" t="s">
        <v>430</v>
      </c>
      <c r="E187" s="431" t="s">
        <v>1168</v>
      </c>
      <c r="F187" s="448" t="str">
        <f>'MT-ETUS'!M320&amp;" - "&amp;'MT-ETUS'!Q320</f>
        <v xml:space="preserve">- - </v>
      </c>
      <c r="G187" s="439"/>
      <c r="H187" s="439"/>
      <c r="I187" s="440"/>
      <c r="J187" s="414"/>
      <c r="L187" s="414">
        <v>4</v>
      </c>
      <c r="M187" s="414"/>
      <c r="N187" s="414"/>
      <c r="O187" s="386">
        <f t="shared" si="3"/>
        <v>1</v>
      </c>
      <c r="P187" s="414">
        <v>0</v>
      </c>
      <c r="Q187" s="414">
        <v>1</v>
      </c>
      <c r="R187" s="414">
        <v>1</v>
      </c>
      <c r="S187" s="414">
        <v>1</v>
      </c>
      <c r="T187" s="414">
        <v>1</v>
      </c>
      <c r="U187" s="414"/>
      <c r="V187" s="414">
        <v>1</v>
      </c>
      <c r="W187" s="414">
        <v>1</v>
      </c>
      <c r="X187" s="414">
        <v>1</v>
      </c>
      <c r="Y187" s="414">
        <v>1</v>
      </c>
      <c r="Z187" s="414"/>
    </row>
    <row r="188" spans="2:26" s="413" customFormat="1" ht="11.25" customHeight="1" x14ac:dyDescent="0.25">
      <c r="B188" s="431">
        <v>185</v>
      </c>
      <c r="C188" s="437" t="s">
        <v>1163</v>
      </c>
      <c r="D188" s="438" t="s">
        <v>434</v>
      </c>
      <c r="E188" s="431" t="s">
        <v>1169</v>
      </c>
      <c r="F188" s="448" t="str">
        <f>'MT-ETUS'!M321&amp;" - "&amp;'MT-ETUS'!Q321</f>
        <v xml:space="preserve"> - </v>
      </c>
      <c r="G188" s="439"/>
      <c r="H188" s="439"/>
      <c r="I188" s="440"/>
      <c r="J188" s="414"/>
      <c r="L188" s="414">
        <v>4</v>
      </c>
      <c r="M188" s="414"/>
      <c r="N188" s="414">
        <v>1</v>
      </c>
      <c r="O188" s="386">
        <f t="shared" si="3"/>
        <v>1</v>
      </c>
      <c r="P188" s="414">
        <v>0</v>
      </c>
      <c r="Q188" s="414">
        <v>0</v>
      </c>
      <c r="R188" s="414">
        <v>1</v>
      </c>
      <c r="S188" s="414">
        <v>1</v>
      </c>
      <c r="T188" s="414">
        <v>1</v>
      </c>
      <c r="U188" s="414"/>
      <c r="V188" s="414">
        <v>0</v>
      </c>
      <c r="W188" s="414">
        <v>1</v>
      </c>
      <c r="X188" s="414">
        <v>1</v>
      </c>
      <c r="Y188" s="414">
        <v>1</v>
      </c>
      <c r="Z188" s="414"/>
    </row>
    <row r="189" spans="2:26" s="413" customFormat="1" ht="11.25" customHeight="1" x14ac:dyDescent="0.25">
      <c r="B189" s="431">
        <v>186</v>
      </c>
      <c r="C189" s="437" t="s">
        <v>1163</v>
      </c>
      <c r="D189" s="438" t="s">
        <v>301</v>
      </c>
      <c r="E189" s="431" t="s">
        <v>1170</v>
      </c>
      <c r="F189" s="448" t="str">
        <f>'MT-ETUS'!O324&amp;" ud(s) de "&amp;'MT-ETUS'!S324&amp;" kW = "&amp;'MT-ETUS'!W324&amp;" kW"</f>
        <v xml:space="preserve"> ud(s) de  kW =  kW</v>
      </c>
      <c r="G189" s="439"/>
      <c r="H189" s="439"/>
      <c r="I189" s="440"/>
      <c r="J189" s="414"/>
      <c r="L189" s="414">
        <v>4</v>
      </c>
      <c r="M189" s="414"/>
      <c r="N189" s="414">
        <v>1</v>
      </c>
      <c r="O189" s="386">
        <f t="shared" si="3"/>
        <v>1</v>
      </c>
      <c r="P189" s="414">
        <v>0</v>
      </c>
      <c r="Q189" s="414">
        <v>0</v>
      </c>
      <c r="R189" s="414">
        <v>1</v>
      </c>
      <c r="S189" s="414">
        <v>1</v>
      </c>
      <c r="T189" s="414">
        <v>1</v>
      </c>
      <c r="U189" s="414"/>
      <c r="V189" s="414">
        <v>0</v>
      </c>
      <c r="W189" s="414">
        <v>1</v>
      </c>
      <c r="X189" s="414">
        <v>1</v>
      </c>
      <c r="Y189" s="414">
        <v>1</v>
      </c>
      <c r="Z189" s="414"/>
    </row>
    <row r="190" spans="2:26" s="413" customFormat="1" ht="11.25" customHeight="1" x14ac:dyDescent="0.25">
      <c r="B190" s="431">
        <v>187</v>
      </c>
      <c r="C190" s="437" t="s">
        <v>1163</v>
      </c>
      <c r="D190" s="438" t="s">
        <v>438</v>
      </c>
      <c r="E190" s="431" t="s">
        <v>1171</v>
      </c>
      <c r="F190" s="448" t="str">
        <f>'MT-ETUS'!O325&amp;" ud(s) de "&amp;'MT-ETUS'!S325&amp;" kW = "&amp;'MT-ETUS'!W325&amp;" kW"</f>
        <v xml:space="preserve"> ud(s) de  kW =  kW</v>
      </c>
      <c r="G190" s="439"/>
      <c r="H190" s="439"/>
      <c r="I190" s="440"/>
      <c r="J190" s="414"/>
      <c r="L190" s="414">
        <v>4</v>
      </c>
      <c r="M190" s="414"/>
      <c r="N190" s="414"/>
      <c r="O190" s="386">
        <f t="shared" si="3"/>
        <v>1</v>
      </c>
      <c r="P190" s="414">
        <v>0</v>
      </c>
      <c r="Q190" s="414">
        <v>0</v>
      </c>
      <c r="R190" s="414">
        <v>1</v>
      </c>
      <c r="S190" s="414">
        <v>1</v>
      </c>
      <c r="T190" s="414">
        <v>1</v>
      </c>
      <c r="U190" s="414"/>
      <c r="V190" s="414">
        <v>0</v>
      </c>
      <c r="W190" s="414">
        <v>1</v>
      </c>
      <c r="X190" s="414">
        <v>1</v>
      </c>
      <c r="Y190" s="414">
        <v>1</v>
      </c>
      <c r="Z190" s="414"/>
    </row>
    <row r="191" spans="2:26" s="413" customFormat="1" ht="11.25" customHeight="1" x14ac:dyDescent="0.25">
      <c r="B191" s="431">
        <v>188</v>
      </c>
      <c r="C191" s="437" t="s">
        <v>1163</v>
      </c>
      <c r="D191" s="438" t="s">
        <v>1172</v>
      </c>
      <c r="E191" s="431" t="s">
        <v>1173</v>
      </c>
      <c r="F191" s="448" t="str">
        <f>'MT-ETUS'!O326&amp;" ud(s) de "&amp;'MT-ETUS'!S326&amp;" kW = "&amp;'MT-ETUS'!W326&amp;" kW"</f>
        <v xml:space="preserve"> ud(s) de  kW =  kW</v>
      </c>
      <c r="G191" s="439"/>
      <c r="H191" s="439"/>
      <c r="I191" s="440"/>
      <c r="J191" s="414"/>
      <c r="L191" s="414">
        <v>4</v>
      </c>
      <c r="M191" s="414"/>
      <c r="N191" s="414"/>
      <c r="O191" s="386">
        <f t="shared" si="3"/>
        <v>1</v>
      </c>
      <c r="P191" s="414">
        <v>0</v>
      </c>
      <c r="Q191" s="414">
        <v>0</v>
      </c>
      <c r="R191" s="414">
        <v>1</v>
      </c>
      <c r="S191" s="414">
        <v>1</v>
      </c>
      <c r="T191" s="414">
        <v>1</v>
      </c>
      <c r="U191" s="414"/>
      <c r="V191" s="414">
        <v>0</v>
      </c>
      <c r="W191" s="414">
        <v>1</v>
      </c>
      <c r="X191" s="414">
        <v>1</v>
      </c>
      <c r="Y191" s="414">
        <v>1</v>
      </c>
      <c r="Z191" s="414"/>
    </row>
    <row r="192" spans="2:26" s="413" customFormat="1" ht="11.25" customHeight="1" x14ac:dyDescent="0.25">
      <c r="B192" s="431">
        <v>189</v>
      </c>
      <c r="C192" s="437" t="s">
        <v>1174</v>
      </c>
      <c r="D192" s="438" t="s">
        <v>1175</v>
      </c>
      <c r="E192" s="431" t="s">
        <v>1176</v>
      </c>
      <c r="F192" s="448">
        <f>'MT-ETUS'!M329</f>
        <v>0</v>
      </c>
      <c r="G192" s="439"/>
      <c r="H192" s="439"/>
      <c r="I192" s="440"/>
      <c r="J192" s="414"/>
      <c r="L192" s="414">
        <v>4</v>
      </c>
      <c r="M192" s="414"/>
      <c r="N192" s="414"/>
      <c r="O192" s="386">
        <f t="shared" si="3"/>
        <v>1</v>
      </c>
      <c r="P192" s="414">
        <v>0</v>
      </c>
      <c r="Q192" s="414">
        <v>0</v>
      </c>
      <c r="R192" s="414">
        <v>1</v>
      </c>
      <c r="S192" s="414">
        <v>1</v>
      </c>
      <c r="T192" s="414">
        <v>1</v>
      </c>
      <c r="U192" s="414"/>
      <c r="V192" s="414">
        <v>0</v>
      </c>
      <c r="W192" s="414">
        <v>1</v>
      </c>
      <c r="X192" s="414">
        <v>1</v>
      </c>
      <c r="Y192" s="414">
        <v>1</v>
      </c>
      <c r="Z192" s="414"/>
    </row>
    <row r="193" spans="2:26" s="413" customFormat="1" ht="11.25" customHeight="1" x14ac:dyDescent="0.25">
      <c r="B193" s="431">
        <v>190</v>
      </c>
      <c r="C193" s="437" t="s">
        <v>1177</v>
      </c>
      <c r="D193" s="438" t="s">
        <v>187</v>
      </c>
      <c r="E193" s="431" t="s">
        <v>1178</v>
      </c>
      <c r="F193" s="448" t="str">
        <f>'MT-ETUS'!M330&amp;" : "&amp;'MT-ETUS'!O330&amp;" ºC y "&amp;'MT-ETUS'!Q330&amp;" : "&amp;'MT-ETUS'!S330&amp;" ºC"</f>
        <v>Mín :  ºC y Máx :  ºC</v>
      </c>
      <c r="G193" s="439"/>
      <c r="H193" s="439"/>
      <c r="I193" s="440"/>
      <c r="J193" s="414"/>
      <c r="L193" s="414">
        <v>4</v>
      </c>
      <c r="M193" s="414"/>
      <c r="N193" s="414">
        <v>1</v>
      </c>
      <c r="O193" s="386">
        <f t="shared" si="3"/>
        <v>1</v>
      </c>
      <c r="P193" s="414">
        <v>0</v>
      </c>
      <c r="Q193" s="414">
        <v>0</v>
      </c>
      <c r="R193" s="414">
        <v>1</v>
      </c>
      <c r="S193" s="414">
        <v>1</v>
      </c>
      <c r="T193" s="414">
        <v>1</v>
      </c>
      <c r="U193" s="414"/>
      <c r="V193" s="414">
        <v>0</v>
      </c>
      <c r="W193" s="414">
        <v>1</v>
      </c>
      <c r="X193" s="414">
        <v>1</v>
      </c>
      <c r="Y193" s="414">
        <v>1</v>
      </c>
      <c r="Z193" s="414"/>
    </row>
    <row r="194" spans="2:26" s="413" customFormat="1" ht="11.25" customHeight="1" x14ac:dyDescent="0.25">
      <c r="B194" s="431">
        <v>191</v>
      </c>
      <c r="C194" s="437" t="s">
        <v>1177</v>
      </c>
      <c r="D194" s="438" t="s">
        <v>371</v>
      </c>
      <c r="E194" s="431" t="s">
        <v>1179</v>
      </c>
      <c r="F194" s="448" t="str">
        <f>'MT-ETUS'!M331&amp;" - "&amp;'MT-ETUS'!Q331</f>
        <v xml:space="preserve">0 - </v>
      </c>
      <c r="G194" s="439"/>
      <c r="H194" s="439"/>
      <c r="I194" s="440"/>
      <c r="J194" s="414"/>
      <c r="L194" s="414">
        <v>5</v>
      </c>
      <c r="M194" s="414"/>
      <c r="N194" s="414"/>
      <c r="O194" s="386">
        <f t="shared" si="3"/>
        <v>1</v>
      </c>
      <c r="P194" s="414">
        <v>0</v>
      </c>
      <c r="Q194" s="414">
        <v>0</v>
      </c>
      <c r="R194" s="414">
        <v>1</v>
      </c>
      <c r="S194" s="414">
        <v>1</v>
      </c>
      <c r="T194" s="414">
        <v>1</v>
      </c>
      <c r="U194" s="414"/>
      <c r="V194" s="414">
        <v>0</v>
      </c>
      <c r="W194" s="414">
        <v>1</v>
      </c>
      <c r="X194" s="414">
        <v>1</v>
      </c>
      <c r="Y194" s="414">
        <v>1</v>
      </c>
      <c r="Z194" s="414"/>
    </row>
    <row r="195" spans="2:26" s="413" customFormat="1" ht="11.25" customHeight="1" x14ac:dyDescent="0.25">
      <c r="B195" s="431">
        <v>192</v>
      </c>
      <c r="C195" s="437" t="s">
        <v>1180</v>
      </c>
      <c r="D195" s="438" t="s">
        <v>826</v>
      </c>
      <c r="E195" s="431" t="s">
        <v>1181</v>
      </c>
      <c r="F195" s="448" t="str">
        <f>'MT-ETUS'!M268&amp;" "&amp;'MT-ETUS'!N268&amp;"-"&amp;'MT-ETUS'!P268&amp;" "&amp;'MT-ETUS'!Q268&amp;"-"&amp;'MT-ETUS'!S268&amp;" - "&amp;'MT-ETUS'!U268</f>
        <v xml:space="preserve">- Eléctrica-- Hidráulica-- - </v>
      </c>
      <c r="G195" s="439"/>
      <c r="H195" s="439"/>
      <c r="I195" s="440"/>
      <c r="J195" s="414"/>
      <c r="L195" s="414">
        <v>2</v>
      </c>
      <c r="M195" s="414"/>
      <c r="N195" s="414">
        <v>1</v>
      </c>
      <c r="O195" s="386">
        <f t="shared" si="3"/>
        <v>1</v>
      </c>
      <c r="P195" s="414">
        <v>0</v>
      </c>
      <c r="Q195" s="414">
        <v>0</v>
      </c>
      <c r="R195" s="414">
        <v>1</v>
      </c>
      <c r="S195" s="414">
        <v>1</v>
      </c>
      <c r="T195" s="414">
        <v>1</v>
      </c>
      <c r="U195" s="414"/>
      <c r="V195" s="414">
        <v>0</v>
      </c>
      <c r="W195" s="414">
        <v>1</v>
      </c>
      <c r="X195" s="414">
        <v>1</v>
      </c>
      <c r="Y195" s="414">
        <v>1</v>
      </c>
      <c r="Z195" s="414"/>
    </row>
    <row r="196" spans="2:26" s="413" customFormat="1" ht="11.25" customHeight="1" x14ac:dyDescent="0.25">
      <c r="B196" s="431">
        <v>193</v>
      </c>
      <c r="C196" s="437" t="s">
        <v>1182</v>
      </c>
      <c r="D196" s="438" t="s">
        <v>1183</v>
      </c>
      <c r="E196" s="438"/>
      <c r="F196" s="512" t="s">
        <v>1724</v>
      </c>
      <c r="G196" s="439"/>
      <c r="H196" s="439"/>
      <c r="I196" s="440"/>
      <c r="J196" s="414"/>
      <c r="L196" s="414">
        <v>2</v>
      </c>
      <c r="M196" s="414"/>
      <c r="N196" s="414">
        <v>1</v>
      </c>
      <c r="O196" s="386">
        <f t="shared" ref="O196:O259" si="4">IF(O$3=0,0,IF(O$3=1,P196,IF(O$3=2,Q196,IF(O$3=3,R196,IF(O$3=4,S196,IF(O$3=5,T196,IF(O$3=6,V196,IF(O$3=7,W196,IF(O$3=8,X196,IF(O$3=9,Y196,0))))))))))</f>
        <v>1</v>
      </c>
      <c r="P196" s="414">
        <v>0</v>
      </c>
      <c r="Q196" s="414">
        <v>0</v>
      </c>
      <c r="R196" s="414">
        <v>1</v>
      </c>
      <c r="S196" s="414">
        <v>1</v>
      </c>
      <c r="T196" s="414">
        <v>1</v>
      </c>
      <c r="U196" s="414"/>
      <c r="V196" s="414">
        <v>0</v>
      </c>
      <c r="W196" s="414">
        <v>1</v>
      </c>
      <c r="X196" s="414">
        <v>1</v>
      </c>
      <c r="Y196" s="414">
        <v>1</v>
      </c>
      <c r="Z196" s="414"/>
    </row>
    <row r="197" spans="2:26" s="413" customFormat="1" ht="11.25" customHeight="1" x14ac:dyDescent="0.25">
      <c r="B197" s="431">
        <v>194</v>
      </c>
      <c r="C197" s="437" t="s">
        <v>1184</v>
      </c>
      <c r="D197" s="438" t="s">
        <v>490</v>
      </c>
      <c r="E197" s="431" t="s">
        <v>1185</v>
      </c>
      <c r="F197" s="448" t="str">
        <f>'MT-ETUS'!M269&amp;" :  "&amp;'MT-ETUS'!Q269&amp;"  -  "&amp;'MT-ETUS'!S269&amp;" :  "&amp;'MT-ETUS'!W269</f>
        <v xml:space="preserve">Diámetro (mm) :    -  Caudal diseño (l/m) :  </v>
      </c>
      <c r="G197" s="439"/>
      <c r="H197" s="439"/>
      <c r="I197" s="440"/>
      <c r="J197" s="414"/>
      <c r="L197" s="414">
        <v>4</v>
      </c>
      <c r="M197" s="414"/>
      <c r="N197" s="414">
        <v>1</v>
      </c>
      <c r="O197" s="386">
        <f t="shared" si="4"/>
        <v>1</v>
      </c>
      <c r="P197" s="414">
        <v>0</v>
      </c>
      <c r="Q197" s="414">
        <v>1</v>
      </c>
      <c r="R197" s="414">
        <v>1</v>
      </c>
      <c r="S197" s="414">
        <v>1</v>
      </c>
      <c r="T197" s="414">
        <v>1</v>
      </c>
      <c r="U197" s="414"/>
      <c r="V197" s="414">
        <v>1</v>
      </c>
      <c r="W197" s="414">
        <v>1</v>
      </c>
      <c r="X197" s="414">
        <v>1</v>
      </c>
      <c r="Y197" s="414">
        <v>1</v>
      </c>
      <c r="Z197" s="414"/>
    </row>
    <row r="198" spans="2:26" s="413" customFormat="1" ht="11.25" customHeight="1" x14ac:dyDescent="0.25">
      <c r="B198" s="431">
        <v>195</v>
      </c>
      <c r="C198" s="437" t="s">
        <v>1184</v>
      </c>
      <c r="D198" s="438" t="s">
        <v>369</v>
      </c>
      <c r="E198" s="431" t="s">
        <v>1186</v>
      </c>
      <c r="F198" s="448" t="str">
        <f>'MT-ETUS'!M270&amp;" :  "&amp;'MT-ETUS'!Q270&amp;"  -  "&amp;'MT-ETUS'!S270&amp;" :  "&amp;'MT-ETUS'!W270</f>
        <v xml:space="preserve">Espesor (mm) :    -  Conductividad (W/m.K) :  </v>
      </c>
      <c r="G198" s="439"/>
      <c r="H198" s="439"/>
      <c r="I198" s="440"/>
      <c r="J198" s="414"/>
      <c r="L198" s="414">
        <v>4</v>
      </c>
      <c r="M198" s="414"/>
      <c r="N198" s="414">
        <v>1</v>
      </c>
      <c r="O198" s="386">
        <f t="shared" si="4"/>
        <v>1</v>
      </c>
      <c r="P198" s="414">
        <v>0</v>
      </c>
      <c r="Q198" s="414">
        <v>1</v>
      </c>
      <c r="R198" s="414">
        <v>1</v>
      </c>
      <c r="S198" s="414">
        <v>1</v>
      </c>
      <c r="T198" s="414">
        <v>1</v>
      </c>
      <c r="U198" s="414"/>
      <c r="V198" s="414">
        <v>1</v>
      </c>
      <c r="W198" s="414">
        <v>1</v>
      </c>
      <c r="X198" s="414">
        <v>1</v>
      </c>
      <c r="Y198" s="414">
        <v>1</v>
      </c>
      <c r="Z198" s="414"/>
    </row>
    <row r="199" spans="2:26" s="413" customFormat="1" ht="11.25" customHeight="1" x14ac:dyDescent="0.25">
      <c r="B199" s="431">
        <v>196</v>
      </c>
      <c r="C199" s="437" t="s">
        <v>1187</v>
      </c>
      <c r="D199" s="438" t="s">
        <v>1188</v>
      </c>
      <c r="E199" s="431" t="s">
        <v>1189</v>
      </c>
      <c r="F199" s="448" t="str">
        <f>'MT-ETUS'!M271&amp;" y "&amp;'MT-ETUS'!P271</f>
        <v xml:space="preserve">- y </v>
      </c>
      <c r="G199" s="439"/>
      <c r="H199" s="439"/>
      <c r="I199" s="440"/>
      <c r="J199" s="414"/>
      <c r="L199" s="414">
        <v>5</v>
      </c>
      <c r="M199" s="414"/>
      <c r="N199" s="414"/>
      <c r="O199" s="386">
        <f t="shared" si="4"/>
        <v>1</v>
      </c>
      <c r="P199" s="414">
        <v>0</v>
      </c>
      <c r="Q199" s="414">
        <v>1</v>
      </c>
      <c r="R199" s="414">
        <v>1</v>
      </c>
      <c r="S199" s="414">
        <v>1</v>
      </c>
      <c r="T199" s="414">
        <v>1</v>
      </c>
      <c r="U199" s="414"/>
      <c r="V199" s="414">
        <v>1</v>
      </c>
      <c r="W199" s="414">
        <v>1</v>
      </c>
      <c r="X199" s="414">
        <v>1</v>
      </c>
      <c r="Y199" s="414">
        <v>1</v>
      </c>
      <c r="Z199" s="414"/>
    </row>
    <row r="200" spans="2:26" s="413" customFormat="1" ht="11.25" customHeight="1" x14ac:dyDescent="0.25">
      <c r="B200" s="431">
        <v>197</v>
      </c>
      <c r="C200" s="437" t="s">
        <v>1190</v>
      </c>
      <c r="D200" s="438" t="s">
        <v>297</v>
      </c>
      <c r="E200" s="431" t="s">
        <v>1192</v>
      </c>
      <c r="F200" s="448" t="str">
        <f>'MT-ETUS'!M275&amp;" y "&amp;'MT-ETUS'!Q275</f>
        <v xml:space="preserve">- y </v>
      </c>
      <c r="G200" s="439"/>
      <c r="H200" s="439"/>
      <c r="I200" s="440"/>
      <c r="J200" s="414"/>
      <c r="L200" s="414">
        <v>4</v>
      </c>
      <c r="M200" s="414"/>
      <c r="N200" s="414"/>
      <c r="O200" s="386">
        <f t="shared" si="4"/>
        <v>1</v>
      </c>
      <c r="P200" s="414">
        <v>0</v>
      </c>
      <c r="Q200" s="414">
        <v>1</v>
      </c>
      <c r="R200" s="414">
        <v>1</v>
      </c>
      <c r="S200" s="414">
        <v>1</v>
      </c>
      <c r="T200" s="414">
        <v>1</v>
      </c>
      <c r="U200" s="414"/>
      <c r="V200" s="414">
        <v>1</v>
      </c>
      <c r="W200" s="414">
        <v>1</v>
      </c>
      <c r="X200" s="414">
        <v>1</v>
      </c>
      <c r="Y200" s="414">
        <v>1</v>
      </c>
      <c r="Z200" s="414"/>
    </row>
    <row r="201" spans="2:26" s="413" customFormat="1" ht="11.25" customHeight="1" x14ac:dyDescent="0.25">
      <c r="B201" s="431">
        <v>198</v>
      </c>
      <c r="C201" s="437" t="s">
        <v>1191</v>
      </c>
      <c r="D201" s="438" t="s">
        <v>189</v>
      </c>
      <c r="E201" s="431" t="s">
        <v>1193</v>
      </c>
      <c r="F201" s="448" t="str">
        <f>'MT-ETUS'!M276&amp;" "&amp;'MT-ETUS'!N276&amp;" y "&amp;'MT-ETUS'!Q276&amp;" "&amp;'MT-ETUS'!R276&amp;" y "&amp;'MT-ETUS'!U276&amp;" "&amp;'MT-ETUS'!V276</f>
        <v>- Corte y - Seguridad y - Retención</v>
      </c>
      <c r="G201" s="439"/>
      <c r="H201" s="439"/>
      <c r="I201" s="440"/>
      <c r="J201" s="414"/>
      <c r="L201" s="414">
        <v>4</v>
      </c>
      <c r="M201" s="414"/>
      <c r="N201" s="414">
        <v>1</v>
      </c>
      <c r="O201" s="386">
        <f t="shared" si="4"/>
        <v>1</v>
      </c>
      <c r="P201" s="414">
        <v>0</v>
      </c>
      <c r="Q201" s="414">
        <v>0</v>
      </c>
      <c r="R201" s="414">
        <v>1</v>
      </c>
      <c r="S201" s="414">
        <v>1</v>
      </c>
      <c r="T201" s="414">
        <v>1</v>
      </c>
      <c r="U201" s="414"/>
      <c r="V201" s="414">
        <v>0</v>
      </c>
      <c r="W201" s="414">
        <v>0</v>
      </c>
      <c r="X201" s="414">
        <v>1</v>
      </c>
      <c r="Y201" s="414">
        <v>1</v>
      </c>
      <c r="Z201" s="414"/>
    </row>
    <row r="202" spans="2:26" s="413" customFormat="1" ht="11.25" customHeight="1" x14ac:dyDescent="0.25">
      <c r="B202" s="431">
        <v>199</v>
      </c>
      <c r="C202" s="437" t="s">
        <v>1191</v>
      </c>
      <c r="D202" s="438" t="s">
        <v>491</v>
      </c>
      <c r="E202" s="431" t="s">
        <v>1194</v>
      </c>
      <c r="F202" s="448" t="str">
        <f>'MT-ETUS'!M277&amp;" y "&amp;'MT-ETUS'!Q277</f>
        <v xml:space="preserve">- y </v>
      </c>
      <c r="G202" s="439"/>
      <c r="H202" s="439"/>
      <c r="I202" s="440"/>
      <c r="J202" s="414"/>
      <c r="L202" s="414">
        <v>4</v>
      </c>
      <c r="M202" s="414"/>
      <c r="N202" s="414">
        <v>1</v>
      </c>
      <c r="O202" s="386">
        <f t="shared" si="4"/>
        <v>1</v>
      </c>
      <c r="P202" s="414">
        <v>0</v>
      </c>
      <c r="Q202" s="414">
        <v>0</v>
      </c>
      <c r="R202" s="414">
        <v>1</v>
      </c>
      <c r="S202" s="414">
        <v>1</v>
      </c>
      <c r="T202" s="414">
        <v>1</v>
      </c>
      <c r="U202" s="414"/>
      <c r="V202" s="414">
        <v>0</v>
      </c>
      <c r="W202" s="414">
        <v>0</v>
      </c>
      <c r="X202" s="414">
        <v>1</v>
      </c>
      <c r="Y202" s="414">
        <v>1</v>
      </c>
      <c r="Z202" s="414"/>
    </row>
    <row r="203" spans="2:26" s="413" customFormat="1" ht="11.25" customHeight="1" x14ac:dyDescent="0.25">
      <c r="B203" s="431">
        <v>200</v>
      </c>
      <c r="C203" s="437" t="s">
        <v>1191</v>
      </c>
      <c r="D203" s="438" t="s">
        <v>286</v>
      </c>
      <c r="E203" s="431" t="s">
        <v>1196</v>
      </c>
      <c r="F203" s="448" t="str">
        <f>'MT-ETUS'!M278&amp;" y "&amp;'MT-ETUS'!Q278</f>
        <v xml:space="preserve">- y </v>
      </c>
      <c r="G203" s="439"/>
      <c r="H203" s="439"/>
      <c r="I203" s="440"/>
      <c r="J203" s="414"/>
      <c r="L203" s="414">
        <v>4</v>
      </c>
      <c r="M203" s="414"/>
      <c r="N203" s="414">
        <v>1</v>
      </c>
      <c r="O203" s="386">
        <f t="shared" si="4"/>
        <v>1</v>
      </c>
      <c r="P203" s="414">
        <v>0</v>
      </c>
      <c r="Q203" s="414">
        <v>0</v>
      </c>
      <c r="R203" s="414">
        <v>1</v>
      </c>
      <c r="S203" s="414">
        <v>1</v>
      </c>
      <c r="T203" s="414">
        <v>1</v>
      </c>
      <c r="U203" s="414"/>
      <c r="V203" s="414">
        <v>0</v>
      </c>
      <c r="W203" s="414">
        <v>0</v>
      </c>
      <c r="X203" s="414">
        <v>1</v>
      </c>
      <c r="Y203" s="414">
        <v>1</v>
      </c>
      <c r="Z203" s="414"/>
    </row>
    <row r="204" spans="2:26" s="413" customFormat="1" ht="11.25" customHeight="1" x14ac:dyDescent="0.25">
      <c r="B204" s="431">
        <v>201</v>
      </c>
      <c r="C204" s="437" t="s">
        <v>1195</v>
      </c>
      <c r="D204" s="438" t="s">
        <v>285</v>
      </c>
      <c r="E204" s="431" t="s">
        <v>1691</v>
      </c>
      <c r="F204" s="448" t="str">
        <f>'MT-ETUS'!M279&amp;" y "&amp;'MT-ETUS'!Q279</f>
        <v xml:space="preserve">- y </v>
      </c>
      <c r="G204" s="439"/>
      <c r="H204" s="439"/>
      <c r="I204" s="440"/>
      <c r="J204" s="414"/>
      <c r="K204" s="413" t="s">
        <v>1197</v>
      </c>
      <c r="L204" s="414">
        <v>5</v>
      </c>
      <c r="M204" s="414"/>
      <c r="N204" s="414"/>
      <c r="O204" s="386">
        <f t="shared" si="4"/>
        <v>1</v>
      </c>
      <c r="P204" s="414">
        <v>0</v>
      </c>
      <c r="Q204" s="414">
        <v>0</v>
      </c>
      <c r="R204" s="414">
        <v>1</v>
      </c>
      <c r="S204" s="414">
        <v>1</v>
      </c>
      <c r="T204" s="414">
        <v>1</v>
      </c>
      <c r="U204" s="414"/>
      <c r="V204" s="414">
        <v>0</v>
      </c>
      <c r="W204" s="414">
        <v>0</v>
      </c>
      <c r="X204" s="414">
        <v>1</v>
      </c>
      <c r="Y204" s="414">
        <v>1</v>
      </c>
      <c r="Z204" s="414"/>
    </row>
    <row r="205" spans="2:26" s="413" customFormat="1" ht="11.25" customHeight="1" x14ac:dyDescent="0.25">
      <c r="B205" s="431">
        <v>202</v>
      </c>
      <c r="C205" s="437" t="s">
        <v>1198</v>
      </c>
      <c r="D205" s="438" t="s">
        <v>1199</v>
      </c>
      <c r="E205" s="431" t="s">
        <v>1200</v>
      </c>
      <c r="F205" s="438" t="str">
        <f>'MT-ETUS'!Q311</f>
        <v>-</v>
      </c>
      <c r="G205" s="439"/>
      <c r="H205" s="439"/>
      <c r="I205" s="440"/>
      <c r="J205" s="414"/>
      <c r="L205" s="414">
        <v>4</v>
      </c>
      <c r="M205" s="414"/>
      <c r="N205" s="414">
        <v>1</v>
      </c>
      <c r="O205" s="386">
        <f t="shared" si="4"/>
        <v>1</v>
      </c>
      <c r="P205" s="414">
        <v>0</v>
      </c>
      <c r="Q205" s="414">
        <v>0</v>
      </c>
      <c r="R205" s="414">
        <v>1</v>
      </c>
      <c r="S205" s="414">
        <v>1</v>
      </c>
      <c r="T205" s="414">
        <v>1</v>
      </c>
      <c r="U205" s="414"/>
      <c r="V205" s="414">
        <v>0</v>
      </c>
      <c r="W205" s="414">
        <v>0</v>
      </c>
      <c r="X205" s="414">
        <v>0</v>
      </c>
      <c r="Y205" s="414">
        <v>0</v>
      </c>
      <c r="Z205" s="414"/>
    </row>
    <row r="206" spans="2:26" s="413" customFormat="1" ht="11.25" customHeight="1" x14ac:dyDescent="0.25">
      <c r="B206" s="431">
        <v>203</v>
      </c>
      <c r="C206" s="437" t="s">
        <v>1201</v>
      </c>
      <c r="D206" s="438" t="s">
        <v>1202</v>
      </c>
      <c r="E206" s="431" t="s">
        <v>1200</v>
      </c>
      <c r="F206" s="413" t="str">
        <f>'MT-ETUS'!M311</f>
        <v>-</v>
      </c>
      <c r="G206" s="439"/>
      <c r="H206" s="439"/>
      <c r="I206" s="440"/>
      <c r="J206" s="414"/>
      <c r="L206" s="414">
        <v>4</v>
      </c>
      <c r="M206" s="414"/>
      <c r="N206" s="414">
        <v>1</v>
      </c>
      <c r="O206" s="386">
        <f t="shared" si="4"/>
        <v>1</v>
      </c>
      <c r="P206" s="414">
        <v>0</v>
      </c>
      <c r="Q206" s="414">
        <v>0</v>
      </c>
      <c r="R206" s="414">
        <v>1</v>
      </c>
      <c r="S206" s="414">
        <v>1</v>
      </c>
      <c r="T206" s="414">
        <v>1</v>
      </c>
      <c r="U206" s="414"/>
      <c r="V206" s="414">
        <v>0</v>
      </c>
      <c r="W206" s="414">
        <v>0</v>
      </c>
      <c r="X206" s="414">
        <v>0</v>
      </c>
      <c r="Y206" s="414">
        <v>0</v>
      </c>
      <c r="Z206" s="414"/>
    </row>
    <row r="207" spans="2:26" s="413" customFormat="1" ht="11.25" customHeight="1" x14ac:dyDescent="0.25">
      <c r="B207" s="431">
        <v>204</v>
      </c>
      <c r="C207" s="437" t="s">
        <v>1203</v>
      </c>
      <c r="D207" s="438" t="s">
        <v>1204</v>
      </c>
      <c r="E207" s="431" t="s">
        <v>238</v>
      </c>
      <c r="F207" s="512" t="s">
        <v>1722</v>
      </c>
      <c r="G207" s="439"/>
      <c r="H207" s="439"/>
      <c r="I207" s="440"/>
      <c r="J207" s="414"/>
      <c r="L207" s="414">
        <v>4</v>
      </c>
      <c r="M207" s="414"/>
      <c r="N207" s="414"/>
      <c r="O207" s="386">
        <f t="shared" si="4"/>
        <v>1</v>
      </c>
      <c r="P207" s="414">
        <v>0</v>
      </c>
      <c r="Q207" s="414">
        <v>0</v>
      </c>
      <c r="R207" s="414">
        <v>1</v>
      </c>
      <c r="S207" s="414">
        <v>1</v>
      </c>
      <c r="T207" s="414">
        <v>1</v>
      </c>
      <c r="U207" s="414"/>
      <c r="V207" s="414">
        <v>0</v>
      </c>
      <c r="W207" s="414">
        <v>0</v>
      </c>
      <c r="X207" s="414">
        <v>1</v>
      </c>
      <c r="Y207" s="414">
        <v>1</v>
      </c>
      <c r="Z207" s="414"/>
    </row>
    <row r="208" spans="2:26" s="413" customFormat="1" ht="11.25" customHeight="1" x14ac:dyDescent="0.25">
      <c r="B208" s="431">
        <v>205</v>
      </c>
      <c r="C208" s="437" t="s">
        <v>1205</v>
      </c>
      <c r="D208" s="438" t="s">
        <v>1206</v>
      </c>
      <c r="E208" s="431"/>
      <c r="F208" s="512" t="s">
        <v>1724</v>
      </c>
      <c r="G208" s="439"/>
      <c r="H208" s="439"/>
      <c r="I208" s="440"/>
      <c r="J208" s="414"/>
      <c r="K208" s="413" t="s">
        <v>1858</v>
      </c>
      <c r="L208" s="414">
        <v>2</v>
      </c>
      <c r="M208" s="414"/>
      <c r="N208" s="414">
        <v>1</v>
      </c>
      <c r="O208" s="386">
        <f t="shared" si="4"/>
        <v>1</v>
      </c>
      <c r="P208" s="414">
        <v>0</v>
      </c>
      <c r="Q208" s="414">
        <v>1</v>
      </c>
      <c r="R208" s="414">
        <v>1</v>
      </c>
      <c r="S208" s="414">
        <v>1</v>
      </c>
      <c r="T208" s="414">
        <v>1</v>
      </c>
      <c r="U208" s="414"/>
      <c r="V208" s="414">
        <v>0</v>
      </c>
      <c r="W208" s="414">
        <v>1</v>
      </c>
      <c r="X208" s="414">
        <v>1</v>
      </c>
      <c r="Y208" s="414">
        <v>1</v>
      </c>
      <c r="Z208" s="414"/>
    </row>
    <row r="209" spans="2:26" s="413" customFormat="1" ht="11.25" customHeight="1" x14ac:dyDescent="0.25">
      <c r="B209" s="431">
        <v>206</v>
      </c>
      <c r="C209" s="437" t="s">
        <v>1205</v>
      </c>
      <c r="D209" s="438" t="s">
        <v>1207</v>
      </c>
      <c r="E209" s="431"/>
      <c r="F209" s="512" t="s">
        <v>1724</v>
      </c>
      <c r="G209" s="439"/>
      <c r="H209" s="439"/>
      <c r="I209" s="440"/>
      <c r="J209" s="414"/>
      <c r="K209" s="413" t="s">
        <v>1694</v>
      </c>
      <c r="L209" s="414">
        <v>4</v>
      </c>
      <c r="M209" s="414"/>
      <c r="N209" s="414"/>
      <c r="O209" s="386">
        <f t="shared" si="4"/>
        <v>1</v>
      </c>
      <c r="P209" s="414">
        <v>0</v>
      </c>
      <c r="Q209" s="414">
        <v>1</v>
      </c>
      <c r="R209" s="414">
        <v>1</v>
      </c>
      <c r="S209" s="414">
        <v>1</v>
      </c>
      <c r="T209" s="414">
        <v>1</v>
      </c>
      <c r="U209" s="414"/>
      <c r="V209" s="414">
        <v>0</v>
      </c>
      <c r="W209" s="414">
        <v>1</v>
      </c>
      <c r="X209" s="414">
        <v>1</v>
      </c>
      <c r="Y209" s="414">
        <v>1</v>
      </c>
      <c r="Z209" s="414"/>
    </row>
    <row r="210" spans="2:26" s="413" customFormat="1" ht="11.25" customHeight="1" x14ac:dyDescent="0.25">
      <c r="B210" s="431">
        <v>207</v>
      </c>
      <c r="C210" s="437" t="s">
        <v>1208</v>
      </c>
      <c r="D210" s="438" t="s">
        <v>1209</v>
      </c>
      <c r="E210" s="431" t="str">
        <f>E199</f>
        <v>L12-13</v>
      </c>
      <c r="F210" s="438" t="str">
        <f>F199</f>
        <v xml:space="preserve">- y </v>
      </c>
      <c r="G210" s="439"/>
      <c r="H210" s="439"/>
      <c r="I210" s="440"/>
      <c r="J210" s="414"/>
      <c r="K210" s="413" t="s">
        <v>1693</v>
      </c>
      <c r="L210" s="414">
        <v>4</v>
      </c>
      <c r="M210" s="414"/>
      <c r="N210" s="414"/>
      <c r="O210" s="386">
        <f t="shared" si="4"/>
        <v>1</v>
      </c>
      <c r="P210" s="414">
        <v>0</v>
      </c>
      <c r="Q210" s="414">
        <v>1</v>
      </c>
      <c r="R210" s="414">
        <v>1</v>
      </c>
      <c r="S210" s="414">
        <v>1</v>
      </c>
      <c r="T210" s="414">
        <v>1</v>
      </c>
      <c r="U210" s="414"/>
      <c r="V210" s="414">
        <v>0</v>
      </c>
      <c r="W210" s="414">
        <v>1</v>
      </c>
      <c r="X210" s="414">
        <v>1</v>
      </c>
      <c r="Y210" s="414">
        <v>1</v>
      </c>
      <c r="Z210" s="414"/>
    </row>
    <row r="211" spans="2:26" s="413" customFormat="1" ht="11.25" customHeight="1" x14ac:dyDescent="0.25">
      <c r="B211" s="431">
        <v>208</v>
      </c>
      <c r="C211" s="437" t="s">
        <v>1210</v>
      </c>
      <c r="D211" s="438" t="s">
        <v>1211</v>
      </c>
      <c r="E211" s="431" t="str">
        <f>E203</f>
        <v>L12-18</v>
      </c>
      <c r="F211" s="437" t="str">
        <f>F203</f>
        <v xml:space="preserve">- y </v>
      </c>
      <c r="G211" s="439"/>
      <c r="H211" s="439"/>
      <c r="I211" s="440"/>
      <c r="J211" s="414"/>
      <c r="K211" s="413" t="s">
        <v>1860</v>
      </c>
      <c r="L211" s="414">
        <v>4</v>
      </c>
      <c r="M211" s="414"/>
      <c r="N211" s="414">
        <v>1</v>
      </c>
      <c r="O211" s="386">
        <f t="shared" si="4"/>
        <v>1</v>
      </c>
      <c r="P211" s="414">
        <v>0</v>
      </c>
      <c r="Q211" s="414">
        <v>1</v>
      </c>
      <c r="R211" s="414">
        <v>1</v>
      </c>
      <c r="S211" s="414">
        <v>1</v>
      </c>
      <c r="T211" s="414">
        <v>1</v>
      </c>
      <c r="U211" s="414"/>
      <c r="V211" s="414">
        <v>0</v>
      </c>
      <c r="W211" s="414">
        <v>1</v>
      </c>
      <c r="X211" s="414">
        <v>1</v>
      </c>
      <c r="Y211" s="414">
        <v>1</v>
      </c>
      <c r="Z211" s="414"/>
    </row>
    <row r="212" spans="2:26" s="413" customFormat="1" ht="11.25" customHeight="1" x14ac:dyDescent="0.25">
      <c r="B212" s="431">
        <v>209</v>
      </c>
      <c r="C212" s="437" t="s">
        <v>1212</v>
      </c>
      <c r="D212" s="438" t="s">
        <v>1692</v>
      </c>
      <c r="E212" s="431"/>
      <c r="F212" s="512" t="s">
        <v>1724</v>
      </c>
      <c r="G212" s="439"/>
      <c r="H212" s="439"/>
      <c r="I212" s="440"/>
      <c r="J212" s="414"/>
      <c r="K212" s="413" t="s">
        <v>1859</v>
      </c>
      <c r="L212" s="414">
        <v>4</v>
      </c>
      <c r="M212" s="414"/>
      <c r="N212" s="414">
        <v>1</v>
      </c>
      <c r="O212" s="386">
        <f t="shared" si="4"/>
        <v>1</v>
      </c>
      <c r="P212" s="414">
        <v>0</v>
      </c>
      <c r="Q212" s="414">
        <v>1</v>
      </c>
      <c r="R212" s="414">
        <v>1</v>
      </c>
      <c r="S212" s="414">
        <v>1</v>
      </c>
      <c r="T212" s="414">
        <v>1</v>
      </c>
      <c r="U212" s="414"/>
      <c r="V212" s="414">
        <v>0</v>
      </c>
      <c r="W212" s="414">
        <v>1</v>
      </c>
      <c r="X212" s="414">
        <v>1</v>
      </c>
      <c r="Y212" s="414">
        <v>1</v>
      </c>
      <c r="Z212" s="414"/>
    </row>
    <row r="213" spans="2:26" s="413" customFormat="1" ht="11.25" customHeight="1" x14ac:dyDescent="0.25">
      <c r="B213" s="431">
        <v>210</v>
      </c>
      <c r="C213" s="437" t="s">
        <v>1213</v>
      </c>
      <c r="D213" s="438" t="s">
        <v>1214</v>
      </c>
      <c r="E213" s="431" t="s">
        <v>1695</v>
      </c>
      <c r="F213" s="448" t="str">
        <f>'MT-ETUS'!M316&amp;" - "&amp;'MT-ETUS'!Q316&amp;" y "&amp;'MT-ETUS'!M264&amp;" - "&amp;'MT-ETUS'!Q264</f>
        <v xml:space="preserve">- -  y - - </v>
      </c>
      <c r="G213" s="439"/>
      <c r="H213" s="439"/>
      <c r="I213" s="440"/>
      <c r="J213" s="414"/>
      <c r="L213" s="414">
        <v>4</v>
      </c>
      <c r="M213" s="414"/>
      <c r="N213" s="414"/>
      <c r="O213" s="386">
        <f t="shared" si="4"/>
        <v>1</v>
      </c>
      <c r="P213" s="414">
        <v>0</v>
      </c>
      <c r="Q213" s="414">
        <v>0</v>
      </c>
      <c r="R213" s="414">
        <v>1</v>
      </c>
      <c r="S213" s="414">
        <v>1</v>
      </c>
      <c r="T213" s="414">
        <v>1</v>
      </c>
      <c r="U213" s="414"/>
      <c r="V213" s="414">
        <v>0</v>
      </c>
      <c r="W213" s="414">
        <v>0</v>
      </c>
      <c r="X213" s="414">
        <v>1</v>
      </c>
      <c r="Y213" s="414">
        <v>1</v>
      </c>
      <c r="Z213" s="414"/>
    </row>
    <row r="214" spans="2:26" s="413" customFormat="1" ht="11.25" customHeight="1" x14ac:dyDescent="0.25">
      <c r="B214" s="431">
        <v>211</v>
      </c>
      <c r="C214" s="437" t="s">
        <v>1215</v>
      </c>
      <c r="D214" s="438" t="s">
        <v>1216</v>
      </c>
      <c r="E214" s="431"/>
      <c r="F214" s="438" t="s">
        <v>1697</v>
      </c>
      <c r="G214" s="439"/>
      <c r="H214" s="439"/>
      <c r="I214" s="440"/>
      <c r="J214" s="414"/>
      <c r="K214" s="413" t="s">
        <v>1696</v>
      </c>
      <c r="L214" s="414">
        <v>4</v>
      </c>
      <c r="M214" s="414"/>
      <c r="N214" s="414"/>
      <c r="O214" s="386">
        <f t="shared" si="4"/>
        <v>1</v>
      </c>
      <c r="P214" s="414">
        <v>0</v>
      </c>
      <c r="Q214" s="414">
        <v>0</v>
      </c>
      <c r="R214" s="414">
        <v>1</v>
      </c>
      <c r="S214" s="414">
        <v>1</v>
      </c>
      <c r="T214" s="414">
        <v>1</v>
      </c>
      <c r="U214" s="414"/>
      <c r="V214" s="414">
        <v>0</v>
      </c>
      <c r="W214" s="414">
        <v>0</v>
      </c>
      <c r="X214" s="414">
        <v>1</v>
      </c>
      <c r="Y214" s="414">
        <v>1</v>
      </c>
      <c r="Z214" s="414"/>
    </row>
    <row r="215" spans="2:26" s="413" customFormat="1" ht="11.25" customHeight="1" x14ac:dyDescent="0.25">
      <c r="B215" s="431">
        <v>212</v>
      </c>
      <c r="C215" s="437" t="s">
        <v>1217</v>
      </c>
      <c r="D215" s="438" t="s">
        <v>1698</v>
      </c>
      <c r="E215" s="431"/>
      <c r="F215" s="438" t="s">
        <v>238</v>
      </c>
      <c r="G215" s="439"/>
      <c r="H215" s="439"/>
      <c r="I215" s="440"/>
      <c r="J215" s="414"/>
      <c r="L215" s="414">
        <v>4</v>
      </c>
      <c r="M215" s="414"/>
      <c r="N215" s="414"/>
      <c r="O215" s="386">
        <f t="shared" si="4"/>
        <v>1</v>
      </c>
      <c r="P215" s="414">
        <v>0</v>
      </c>
      <c r="Q215" s="414">
        <v>0</v>
      </c>
      <c r="R215" s="414">
        <v>1</v>
      </c>
      <c r="S215" s="414">
        <v>1</v>
      </c>
      <c r="T215" s="414">
        <v>1</v>
      </c>
      <c r="U215" s="414"/>
      <c r="V215" s="414">
        <v>0</v>
      </c>
      <c r="W215" s="414">
        <v>0</v>
      </c>
      <c r="X215" s="414">
        <v>0</v>
      </c>
      <c r="Y215" s="414">
        <v>0</v>
      </c>
      <c r="Z215" s="414"/>
    </row>
    <row r="216" spans="2:26" s="450" customFormat="1" ht="11.25" customHeight="1" x14ac:dyDescent="0.25">
      <c r="B216" s="431">
        <v>213</v>
      </c>
      <c r="C216" s="449" t="s">
        <v>1218</v>
      </c>
      <c r="D216" s="459" t="s">
        <v>1219</v>
      </c>
      <c r="E216" s="431" t="s">
        <v>1732</v>
      </c>
      <c r="F216" s="512" t="s">
        <v>1724</v>
      </c>
      <c r="G216" s="461"/>
      <c r="H216" s="461"/>
      <c r="I216" s="462"/>
      <c r="J216" s="414"/>
      <c r="K216" s="450" t="s">
        <v>1699</v>
      </c>
      <c r="L216" s="414">
        <v>4</v>
      </c>
      <c r="M216" s="414"/>
      <c r="N216" s="451"/>
      <c r="O216" s="386">
        <f t="shared" si="4"/>
        <v>1</v>
      </c>
      <c r="P216" s="414">
        <v>0</v>
      </c>
      <c r="Q216" s="414">
        <v>0</v>
      </c>
      <c r="R216" s="414">
        <v>1</v>
      </c>
      <c r="S216" s="414">
        <v>1</v>
      </c>
      <c r="T216" s="414">
        <v>1</v>
      </c>
      <c r="U216" s="451"/>
      <c r="V216" s="414">
        <v>0</v>
      </c>
      <c r="W216" s="414">
        <v>0</v>
      </c>
      <c r="X216" s="414">
        <v>0</v>
      </c>
      <c r="Y216" s="414">
        <v>0</v>
      </c>
      <c r="Z216" s="451"/>
    </row>
    <row r="217" spans="2:26" s="413" customFormat="1" ht="11.25" customHeight="1" x14ac:dyDescent="0.25">
      <c r="B217" s="431">
        <v>214</v>
      </c>
      <c r="C217" s="449" t="s">
        <v>1220</v>
      </c>
      <c r="D217" s="459" t="s">
        <v>1221</v>
      </c>
      <c r="E217" s="431" t="s">
        <v>1700</v>
      </c>
      <c r="F217" s="512" t="s">
        <v>1701</v>
      </c>
      <c r="G217" s="439"/>
      <c r="H217" s="439"/>
      <c r="I217" s="440"/>
      <c r="J217" s="414"/>
      <c r="K217" s="413" t="s">
        <v>1843</v>
      </c>
      <c r="L217" s="414">
        <v>0</v>
      </c>
      <c r="M217" s="414"/>
      <c r="N217" s="414"/>
      <c r="O217" s="386">
        <f t="shared" si="4"/>
        <v>0</v>
      </c>
      <c r="P217" s="414">
        <v>0</v>
      </c>
      <c r="Q217" s="414">
        <v>1</v>
      </c>
      <c r="R217" s="414">
        <v>0</v>
      </c>
      <c r="S217" s="414">
        <v>0</v>
      </c>
      <c r="T217" s="414">
        <v>0</v>
      </c>
      <c r="U217" s="414"/>
      <c r="V217" s="414">
        <v>0</v>
      </c>
      <c r="W217" s="414">
        <v>0</v>
      </c>
      <c r="X217" s="414">
        <v>0</v>
      </c>
      <c r="Y217" s="414">
        <v>0</v>
      </c>
      <c r="Z217" s="414"/>
    </row>
    <row r="218" spans="2:26" s="420" customFormat="1" ht="11.25" customHeight="1" x14ac:dyDescent="0.25">
      <c r="B218" s="431">
        <v>215</v>
      </c>
      <c r="C218" s="432" t="s">
        <v>1222</v>
      </c>
      <c r="D218" s="433" t="s">
        <v>1223</v>
      </c>
      <c r="E218" s="434"/>
      <c r="F218" s="433"/>
      <c r="G218" s="435"/>
      <c r="H218" s="435"/>
      <c r="I218" s="436"/>
      <c r="J218" s="414"/>
      <c r="L218" s="414">
        <v>0</v>
      </c>
      <c r="M218" s="414"/>
      <c r="N218" s="428"/>
      <c r="O218" s="386" t="str">
        <f t="shared" si="4"/>
        <v>x</v>
      </c>
      <c r="P218" s="414" t="s">
        <v>2</v>
      </c>
      <c r="Q218" s="414" t="s">
        <v>2</v>
      </c>
      <c r="R218" s="414" t="s">
        <v>2</v>
      </c>
      <c r="S218" s="414" t="s">
        <v>2</v>
      </c>
      <c r="T218" s="414" t="s">
        <v>2</v>
      </c>
      <c r="U218" s="414"/>
      <c r="V218" s="414" t="s">
        <v>2</v>
      </c>
      <c r="W218" s="414" t="s">
        <v>2</v>
      </c>
      <c r="X218" s="414" t="s">
        <v>2</v>
      </c>
      <c r="Y218" s="414" t="s">
        <v>2</v>
      </c>
      <c r="Z218" s="414"/>
    </row>
    <row r="219" spans="2:26" s="413" customFormat="1" ht="11.25" customHeight="1" x14ac:dyDescent="0.25">
      <c r="B219" s="431">
        <v>216</v>
      </c>
      <c r="C219" s="437" t="s">
        <v>1224</v>
      </c>
      <c r="D219" s="438" t="s">
        <v>1702</v>
      </c>
      <c r="E219" s="431" t="s">
        <v>916</v>
      </c>
      <c r="F219" s="438"/>
      <c r="G219" s="439"/>
      <c r="H219" s="439"/>
      <c r="I219" s="440"/>
      <c r="J219" s="414"/>
      <c r="L219" s="414">
        <v>0</v>
      </c>
      <c r="M219" s="414"/>
      <c r="N219" s="414"/>
      <c r="O219" s="386">
        <f t="shared" si="4"/>
        <v>1</v>
      </c>
      <c r="P219" s="414">
        <v>0</v>
      </c>
      <c r="Q219" s="414">
        <v>0</v>
      </c>
      <c r="R219" s="414">
        <v>1</v>
      </c>
      <c r="S219" s="414">
        <v>1</v>
      </c>
      <c r="T219" s="414">
        <v>1</v>
      </c>
      <c r="U219" s="414"/>
      <c r="V219" s="414">
        <v>0</v>
      </c>
      <c r="W219" s="414">
        <v>0</v>
      </c>
      <c r="X219" s="414">
        <v>0</v>
      </c>
      <c r="Y219" s="414">
        <v>0</v>
      </c>
      <c r="Z219" s="414"/>
    </row>
    <row r="220" spans="2:26" s="413" customFormat="1" ht="11.25" customHeight="1" x14ac:dyDescent="0.25">
      <c r="B220" s="431">
        <v>217</v>
      </c>
      <c r="C220" s="437" t="s">
        <v>1225</v>
      </c>
      <c r="D220" s="438" t="s">
        <v>1703</v>
      </c>
      <c r="E220" s="431"/>
      <c r="F220" s="438" t="s">
        <v>1705</v>
      </c>
      <c r="G220" s="439"/>
      <c r="H220" s="439"/>
      <c r="I220" s="440"/>
      <c r="J220" s="414"/>
      <c r="K220" s="413" t="s">
        <v>1704</v>
      </c>
      <c r="L220" s="414">
        <v>0</v>
      </c>
      <c r="M220" s="414"/>
      <c r="N220" s="414"/>
      <c r="O220" s="386">
        <f t="shared" si="4"/>
        <v>1</v>
      </c>
      <c r="P220" s="414">
        <v>0</v>
      </c>
      <c r="Q220" s="414">
        <v>0</v>
      </c>
      <c r="R220" s="414">
        <v>1</v>
      </c>
      <c r="S220" s="414">
        <v>1</v>
      </c>
      <c r="T220" s="414">
        <v>1</v>
      </c>
      <c r="U220" s="414"/>
      <c r="V220" s="414">
        <v>0</v>
      </c>
      <c r="W220" s="414">
        <v>0</v>
      </c>
      <c r="X220" s="414">
        <v>0</v>
      </c>
      <c r="Y220" s="414">
        <v>0</v>
      </c>
      <c r="Z220" s="414"/>
    </row>
    <row r="221" spans="2:26" s="413" customFormat="1" ht="11.25" customHeight="1" x14ac:dyDescent="0.25">
      <c r="B221" s="431">
        <v>218</v>
      </c>
      <c r="C221" s="437" t="s">
        <v>1226</v>
      </c>
      <c r="D221" s="438" t="s">
        <v>100</v>
      </c>
      <c r="E221" s="431" t="s">
        <v>862</v>
      </c>
      <c r="F221" s="448">
        <f>'MT-ETUS'!M142</f>
        <v>0</v>
      </c>
      <c r="G221" s="439"/>
      <c r="H221" s="439"/>
      <c r="I221" s="440"/>
      <c r="J221" s="414"/>
      <c r="K221" s="413" t="s">
        <v>1227</v>
      </c>
      <c r="L221" s="414">
        <v>0</v>
      </c>
      <c r="M221" s="414"/>
      <c r="N221" s="414"/>
      <c r="O221" s="386">
        <f t="shared" si="4"/>
        <v>1</v>
      </c>
      <c r="P221" s="414">
        <v>0</v>
      </c>
      <c r="Q221" s="414">
        <v>0</v>
      </c>
      <c r="R221" s="414">
        <v>1</v>
      </c>
      <c r="S221" s="414">
        <v>1</v>
      </c>
      <c r="T221" s="414">
        <v>1</v>
      </c>
      <c r="U221" s="414"/>
      <c r="V221" s="414">
        <v>0</v>
      </c>
      <c r="W221" s="414">
        <v>0</v>
      </c>
      <c r="X221" s="414">
        <v>0</v>
      </c>
      <c r="Y221" s="414">
        <v>0</v>
      </c>
      <c r="Z221" s="414"/>
    </row>
    <row r="222" spans="2:26" s="413" customFormat="1" ht="11.25" customHeight="1" x14ac:dyDescent="0.25">
      <c r="B222" s="431">
        <v>219</v>
      </c>
      <c r="C222" s="437" t="s">
        <v>1226</v>
      </c>
      <c r="D222" s="438" t="s">
        <v>34</v>
      </c>
      <c r="E222" s="431" t="s">
        <v>1228</v>
      </c>
      <c r="F222" s="448">
        <f>'MT-ETUS'!M143</f>
        <v>0</v>
      </c>
      <c r="G222" s="439"/>
      <c r="H222" s="439"/>
      <c r="I222" s="440"/>
      <c r="J222" s="414"/>
      <c r="L222" s="414">
        <v>0</v>
      </c>
      <c r="M222" s="414"/>
      <c r="N222" s="414"/>
      <c r="O222" s="386">
        <f t="shared" si="4"/>
        <v>1</v>
      </c>
      <c r="P222" s="414">
        <v>0</v>
      </c>
      <c r="Q222" s="414">
        <v>0</v>
      </c>
      <c r="R222" s="414">
        <v>1</v>
      </c>
      <c r="S222" s="414">
        <v>1</v>
      </c>
      <c r="T222" s="414">
        <v>1</v>
      </c>
      <c r="U222" s="414"/>
      <c r="V222" s="414">
        <v>0</v>
      </c>
      <c r="W222" s="414">
        <v>0</v>
      </c>
      <c r="X222" s="414">
        <v>0</v>
      </c>
      <c r="Y222" s="414">
        <v>0</v>
      </c>
      <c r="Z222" s="414"/>
    </row>
    <row r="223" spans="2:26" s="413" customFormat="1" ht="11.25" customHeight="1" x14ac:dyDescent="0.25">
      <c r="B223" s="431">
        <v>220</v>
      </c>
      <c r="C223" s="437" t="s">
        <v>1226</v>
      </c>
      <c r="D223" s="438" t="s">
        <v>360</v>
      </c>
      <c r="E223" s="431" t="s">
        <v>1229</v>
      </c>
      <c r="F223" s="448">
        <f>'MT-ETUS'!M144</f>
        <v>0</v>
      </c>
      <c r="G223" s="439"/>
      <c r="H223" s="439"/>
      <c r="I223" s="440"/>
      <c r="J223" s="414"/>
      <c r="K223" s="413" t="s">
        <v>1230</v>
      </c>
      <c r="L223" s="414">
        <v>0</v>
      </c>
      <c r="M223" s="414"/>
      <c r="N223" s="414"/>
      <c r="O223" s="386">
        <f t="shared" si="4"/>
        <v>1</v>
      </c>
      <c r="P223" s="414">
        <v>0</v>
      </c>
      <c r="Q223" s="414">
        <v>0</v>
      </c>
      <c r="R223" s="414">
        <v>1</v>
      </c>
      <c r="S223" s="414">
        <v>1</v>
      </c>
      <c r="T223" s="414">
        <v>1</v>
      </c>
      <c r="U223" s="414"/>
      <c r="V223" s="414">
        <v>0</v>
      </c>
      <c r="W223" s="414">
        <v>0</v>
      </c>
      <c r="X223" s="414">
        <v>0</v>
      </c>
      <c r="Y223" s="414">
        <v>0</v>
      </c>
      <c r="Z223" s="414"/>
    </row>
    <row r="224" spans="2:26" s="413" customFormat="1" ht="11.25" customHeight="1" x14ac:dyDescent="0.25">
      <c r="B224" s="431">
        <v>221</v>
      </c>
      <c r="C224" s="437" t="s">
        <v>1226</v>
      </c>
      <c r="D224" s="438" t="s">
        <v>1231</v>
      </c>
      <c r="E224" s="431" t="s">
        <v>1232</v>
      </c>
      <c r="F224" s="448" t="str">
        <f>'MT-ETUS'!M153&amp;" colectores y "&amp;'MT-ETUS'!R153&amp;" iguales y "&amp;'MT-ETUS'!S153</f>
        <v xml:space="preserve">0 colectores y - iguales y </v>
      </c>
      <c r="G224" s="439"/>
      <c r="H224" s="439"/>
      <c r="I224" s="440"/>
      <c r="J224" s="414"/>
      <c r="L224" s="414">
        <v>0</v>
      </c>
      <c r="M224" s="414"/>
      <c r="N224" s="414"/>
      <c r="O224" s="386">
        <f t="shared" si="4"/>
        <v>1</v>
      </c>
      <c r="P224" s="414">
        <v>0</v>
      </c>
      <c r="Q224" s="414">
        <v>0</v>
      </c>
      <c r="R224" s="414">
        <v>1</v>
      </c>
      <c r="S224" s="414">
        <v>1</v>
      </c>
      <c r="T224" s="414">
        <v>1</v>
      </c>
      <c r="U224" s="414"/>
      <c r="V224" s="414">
        <v>0</v>
      </c>
      <c r="W224" s="414">
        <v>0</v>
      </c>
      <c r="X224" s="414">
        <v>0</v>
      </c>
      <c r="Y224" s="414">
        <v>0</v>
      </c>
      <c r="Z224" s="414"/>
    </row>
    <row r="225" spans="2:26" s="413" customFormat="1" ht="11.25" customHeight="1" x14ac:dyDescent="0.25">
      <c r="B225" s="431">
        <v>222</v>
      </c>
      <c r="C225" s="437" t="s">
        <v>1233</v>
      </c>
      <c r="D225" s="438" t="s">
        <v>517</v>
      </c>
      <c r="E225" s="431" t="s">
        <v>1234</v>
      </c>
      <c r="F225" s="463">
        <f>'MT-ETUS'!M154</f>
        <v>0</v>
      </c>
      <c r="G225" s="439"/>
      <c r="H225" s="439"/>
      <c r="I225" s="440"/>
      <c r="J225" s="414"/>
      <c r="L225" s="414">
        <v>0</v>
      </c>
      <c r="M225" s="414"/>
      <c r="N225" s="414"/>
      <c r="O225" s="386">
        <f t="shared" si="4"/>
        <v>1</v>
      </c>
      <c r="P225" s="414">
        <v>0</v>
      </c>
      <c r="Q225" s="414">
        <v>0</v>
      </c>
      <c r="R225" s="414">
        <v>1</v>
      </c>
      <c r="S225" s="414">
        <v>1</v>
      </c>
      <c r="T225" s="414">
        <v>1</v>
      </c>
      <c r="U225" s="414"/>
      <c r="V225" s="414">
        <v>0</v>
      </c>
      <c r="W225" s="414">
        <v>0</v>
      </c>
      <c r="X225" s="414">
        <v>0</v>
      </c>
      <c r="Y225" s="414">
        <v>0</v>
      </c>
      <c r="Z225" s="414"/>
    </row>
    <row r="226" spans="2:26" s="413" customFormat="1" ht="11.25" customHeight="1" x14ac:dyDescent="0.25">
      <c r="B226" s="431">
        <v>223</v>
      </c>
      <c r="C226" s="437" t="s">
        <v>1233</v>
      </c>
      <c r="D226" s="438" t="s">
        <v>135</v>
      </c>
      <c r="E226" s="431" t="s">
        <v>1235</v>
      </c>
      <c r="F226" s="463">
        <f>'MT-ETUS'!M155</f>
        <v>0</v>
      </c>
      <c r="G226" s="439"/>
      <c r="H226" s="439"/>
      <c r="I226" s="440"/>
      <c r="J226" s="414"/>
      <c r="L226" s="414">
        <v>0</v>
      </c>
      <c r="M226" s="414"/>
      <c r="N226" s="414"/>
      <c r="O226" s="386">
        <f t="shared" si="4"/>
        <v>1</v>
      </c>
      <c r="P226" s="414">
        <v>0</v>
      </c>
      <c r="Q226" s="414">
        <v>0</v>
      </c>
      <c r="R226" s="414">
        <v>1</v>
      </c>
      <c r="S226" s="414">
        <v>1</v>
      </c>
      <c r="T226" s="414">
        <v>1</v>
      </c>
      <c r="U226" s="414"/>
      <c r="V226" s="414">
        <v>0</v>
      </c>
      <c r="W226" s="414">
        <v>0</v>
      </c>
      <c r="X226" s="414">
        <v>0</v>
      </c>
      <c r="Y226" s="414">
        <v>0</v>
      </c>
      <c r="Z226" s="414"/>
    </row>
    <row r="227" spans="2:26" s="413" customFormat="1" ht="11.25" customHeight="1" x14ac:dyDescent="0.25">
      <c r="B227" s="431">
        <v>224</v>
      </c>
      <c r="C227" s="449" t="s">
        <v>1236</v>
      </c>
      <c r="D227" s="459" t="s">
        <v>1237</v>
      </c>
      <c r="E227" s="431" t="s">
        <v>1732</v>
      </c>
      <c r="F227" s="512" t="s">
        <v>1724</v>
      </c>
      <c r="G227" s="439"/>
      <c r="H227" s="439"/>
      <c r="I227" s="440"/>
      <c r="J227" s="414"/>
      <c r="L227" s="414">
        <v>2</v>
      </c>
      <c r="M227" s="414"/>
      <c r="N227" s="414"/>
      <c r="O227" s="386">
        <f t="shared" si="4"/>
        <v>1</v>
      </c>
      <c r="P227" s="414">
        <v>0</v>
      </c>
      <c r="Q227" s="414">
        <v>0</v>
      </c>
      <c r="R227" s="414">
        <v>1</v>
      </c>
      <c r="S227" s="414">
        <v>1</v>
      </c>
      <c r="T227" s="414">
        <v>1</v>
      </c>
      <c r="U227" s="414"/>
      <c r="V227" s="414">
        <v>0</v>
      </c>
      <c r="W227" s="414">
        <v>0</v>
      </c>
      <c r="X227" s="414">
        <v>1</v>
      </c>
      <c r="Y227" s="414">
        <v>1</v>
      </c>
      <c r="Z227" s="414"/>
    </row>
    <row r="228" spans="2:26" s="413" customFormat="1" ht="11.25" customHeight="1" x14ac:dyDescent="0.25">
      <c r="B228" s="431">
        <v>225</v>
      </c>
      <c r="C228" s="449" t="s">
        <v>1236</v>
      </c>
      <c r="D228" s="459" t="s">
        <v>1238</v>
      </c>
      <c r="E228" s="431" t="s">
        <v>1732</v>
      </c>
      <c r="F228" s="512" t="s">
        <v>1724</v>
      </c>
      <c r="G228" s="439"/>
      <c r="H228" s="439"/>
      <c r="I228" s="440"/>
      <c r="J228" s="414"/>
      <c r="L228" s="414">
        <v>2</v>
      </c>
      <c r="M228" s="414"/>
      <c r="N228" s="414"/>
      <c r="O228" s="386">
        <f t="shared" si="4"/>
        <v>1</v>
      </c>
      <c r="P228" s="414">
        <v>0</v>
      </c>
      <c r="Q228" s="414">
        <v>0</v>
      </c>
      <c r="R228" s="414">
        <v>1</v>
      </c>
      <c r="S228" s="414">
        <v>1</v>
      </c>
      <c r="T228" s="414">
        <v>1</v>
      </c>
      <c r="U228" s="414"/>
      <c r="V228" s="414">
        <v>0</v>
      </c>
      <c r="W228" s="414">
        <v>0</v>
      </c>
      <c r="X228" s="414">
        <v>1</v>
      </c>
      <c r="Y228" s="414">
        <v>1</v>
      </c>
      <c r="Z228" s="414"/>
    </row>
    <row r="229" spans="2:26" s="413" customFormat="1" ht="11.25" customHeight="1" x14ac:dyDescent="0.25">
      <c r="B229" s="431">
        <v>226</v>
      </c>
      <c r="C229" s="449" t="s">
        <v>1236</v>
      </c>
      <c r="D229" s="459" t="s">
        <v>1239</v>
      </c>
      <c r="E229" s="431" t="s">
        <v>1732</v>
      </c>
      <c r="F229" s="512" t="s">
        <v>1724</v>
      </c>
      <c r="G229" s="439"/>
      <c r="H229" s="439"/>
      <c r="I229" s="440"/>
      <c r="J229" s="414"/>
      <c r="K229" s="413" t="s">
        <v>1861</v>
      </c>
      <c r="L229" s="414">
        <v>2</v>
      </c>
      <c r="M229" s="414"/>
      <c r="N229" s="414">
        <v>1</v>
      </c>
      <c r="O229" s="386">
        <f t="shared" si="4"/>
        <v>1</v>
      </c>
      <c r="P229" s="414">
        <v>0</v>
      </c>
      <c r="Q229" s="414">
        <v>0</v>
      </c>
      <c r="R229" s="414">
        <v>1</v>
      </c>
      <c r="S229" s="414">
        <v>1</v>
      </c>
      <c r="T229" s="414">
        <v>1</v>
      </c>
      <c r="U229" s="414"/>
      <c r="V229" s="414">
        <v>0</v>
      </c>
      <c r="W229" s="414">
        <v>0</v>
      </c>
      <c r="X229" s="414">
        <v>1</v>
      </c>
      <c r="Y229" s="414">
        <v>1</v>
      </c>
      <c r="Z229" s="414"/>
    </row>
    <row r="230" spans="2:26" s="413" customFormat="1" ht="11.25" customHeight="1" x14ac:dyDescent="0.25">
      <c r="B230" s="431">
        <v>227</v>
      </c>
      <c r="C230" s="449" t="s">
        <v>1236</v>
      </c>
      <c r="D230" s="459" t="s">
        <v>1240</v>
      </c>
      <c r="E230" s="431" t="s">
        <v>1732</v>
      </c>
      <c r="F230" s="512" t="s">
        <v>1724</v>
      </c>
      <c r="G230" s="439"/>
      <c r="H230" s="439"/>
      <c r="I230" s="440"/>
      <c r="J230" s="414"/>
      <c r="L230" s="414">
        <v>2</v>
      </c>
      <c r="M230" s="414"/>
      <c r="N230" s="414">
        <v>1</v>
      </c>
      <c r="O230" s="386">
        <f t="shared" si="4"/>
        <v>1</v>
      </c>
      <c r="P230" s="414">
        <v>0</v>
      </c>
      <c r="Q230" s="414">
        <v>0</v>
      </c>
      <c r="R230" s="414">
        <v>1</v>
      </c>
      <c r="S230" s="414">
        <v>1</v>
      </c>
      <c r="T230" s="414">
        <v>1</v>
      </c>
      <c r="U230" s="414"/>
      <c r="V230" s="414">
        <v>0</v>
      </c>
      <c r="W230" s="414">
        <v>0</v>
      </c>
      <c r="X230" s="414">
        <v>1</v>
      </c>
      <c r="Y230" s="414">
        <v>1</v>
      </c>
      <c r="Z230" s="414"/>
    </row>
    <row r="231" spans="2:26" s="413" customFormat="1" ht="11.25" customHeight="1" x14ac:dyDescent="0.25">
      <c r="B231" s="431">
        <v>228</v>
      </c>
      <c r="C231" s="449" t="s">
        <v>1236</v>
      </c>
      <c r="D231" s="459" t="s">
        <v>1241</v>
      </c>
      <c r="E231" s="431" t="s">
        <v>1732</v>
      </c>
      <c r="F231" s="512" t="s">
        <v>1724</v>
      </c>
      <c r="G231" s="439"/>
      <c r="H231" s="439"/>
      <c r="I231" s="440"/>
      <c r="J231" s="414"/>
      <c r="L231" s="414">
        <v>2</v>
      </c>
      <c r="M231" s="414"/>
      <c r="N231" s="414">
        <v>1</v>
      </c>
      <c r="O231" s="386">
        <f t="shared" si="4"/>
        <v>1</v>
      </c>
      <c r="P231" s="414">
        <v>0</v>
      </c>
      <c r="Q231" s="414">
        <v>0</v>
      </c>
      <c r="R231" s="414">
        <v>1</v>
      </c>
      <c r="S231" s="414">
        <v>1</v>
      </c>
      <c r="T231" s="414">
        <v>1</v>
      </c>
      <c r="U231" s="414"/>
      <c r="V231" s="414">
        <v>0</v>
      </c>
      <c r="W231" s="414">
        <v>0</v>
      </c>
      <c r="X231" s="414">
        <v>1</v>
      </c>
      <c r="Y231" s="414">
        <v>1</v>
      </c>
      <c r="Z231" s="414"/>
    </row>
    <row r="232" spans="2:26" s="413" customFormat="1" ht="11.25" customHeight="1" x14ac:dyDescent="0.25">
      <c r="B232" s="431">
        <v>229</v>
      </c>
      <c r="C232" s="449" t="s">
        <v>1236</v>
      </c>
      <c r="D232" s="459" t="s">
        <v>1242</v>
      </c>
      <c r="E232" s="431" t="s">
        <v>1732</v>
      </c>
      <c r="F232" s="512" t="s">
        <v>1724</v>
      </c>
      <c r="G232" s="439"/>
      <c r="H232" s="439"/>
      <c r="I232" s="440"/>
      <c r="J232" s="414"/>
      <c r="L232" s="414">
        <v>2</v>
      </c>
      <c r="M232" s="414"/>
      <c r="N232" s="414">
        <v>1</v>
      </c>
      <c r="O232" s="386">
        <f t="shared" si="4"/>
        <v>1</v>
      </c>
      <c r="P232" s="414">
        <v>0</v>
      </c>
      <c r="Q232" s="414">
        <v>0</v>
      </c>
      <c r="R232" s="414">
        <v>1</v>
      </c>
      <c r="S232" s="414">
        <v>1</v>
      </c>
      <c r="T232" s="414">
        <v>1</v>
      </c>
      <c r="U232" s="414"/>
      <c r="V232" s="414">
        <v>0</v>
      </c>
      <c r="W232" s="414">
        <v>0</v>
      </c>
      <c r="X232" s="414">
        <v>1</v>
      </c>
      <c r="Y232" s="414">
        <v>1</v>
      </c>
      <c r="Z232" s="414"/>
    </row>
    <row r="233" spans="2:26" s="413" customFormat="1" ht="11.25" customHeight="1" x14ac:dyDescent="0.25">
      <c r="B233" s="431">
        <v>230</v>
      </c>
      <c r="C233" s="449" t="s">
        <v>1236</v>
      </c>
      <c r="D233" s="459" t="s">
        <v>1243</v>
      </c>
      <c r="E233" s="431" t="s">
        <v>1732</v>
      </c>
      <c r="F233" s="512" t="s">
        <v>1724</v>
      </c>
      <c r="G233" s="439"/>
      <c r="H233" s="439"/>
      <c r="I233" s="440"/>
      <c r="J233" s="414"/>
      <c r="L233" s="414">
        <v>2</v>
      </c>
      <c r="M233" s="414"/>
      <c r="N233" s="414">
        <v>1</v>
      </c>
      <c r="O233" s="386">
        <f t="shared" si="4"/>
        <v>1</v>
      </c>
      <c r="P233" s="414">
        <v>0</v>
      </c>
      <c r="Q233" s="414">
        <v>0</v>
      </c>
      <c r="R233" s="414">
        <v>1</v>
      </c>
      <c r="S233" s="414">
        <v>1</v>
      </c>
      <c r="T233" s="414">
        <v>1</v>
      </c>
      <c r="U233" s="414"/>
      <c r="V233" s="414">
        <v>0</v>
      </c>
      <c r="W233" s="414">
        <v>0</v>
      </c>
      <c r="X233" s="414">
        <v>1</v>
      </c>
      <c r="Y233" s="414">
        <v>1</v>
      </c>
      <c r="Z233" s="414"/>
    </row>
    <row r="234" spans="2:26" s="413" customFormat="1" ht="11.25" customHeight="1" x14ac:dyDescent="0.25">
      <c r="B234" s="431">
        <v>231</v>
      </c>
      <c r="C234" s="449" t="s">
        <v>1236</v>
      </c>
      <c r="D234" s="459" t="s">
        <v>1244</v>
      </c>
      <c r="E234" s="431" t="s">
        <v>1727</v>
      </c>
      <c r="F234" s="512" t="s">
        <v>1724</v>
      </c>
      <c r="G234" s="439"/>
      <c r="H234" s="439"/>
      <c r="I234" s="440"/>
      <c r="J234" s="414"/>
      <c r="L234" s="414">
        <v>2</v>
      </c>
      <c r="M234" s="414"/>
      <c r="N234" s="414">
        <v>1</v>
      </c>
      <c r="O234" s="386">
        <f t="shared" si="4"/>
        <v>1</v>
      </c>
      <c r="P234" s="414">
        <v>0</v>
      </c>
      <c r="Q234" s="414">
        <v>0</v>
      </c>
      <c r="R234" s="414">
        <v>1</v>
      </c>
      <c r="S234" s="414">
        <v>1</v>
      </c>
      <c r="T234" s="414">
        <v>1</v>
      </c>
      <c r="U234" s="414"/>
      <c r="V234" s="414">
        <v>0</v>
      </c>
      <c r="W234" s="414">
        <v>1</v>
      </c>
      <c r="X234" s="414">
        <v>1</v>
      </c>
      <c r="Y234" s="414">
        <v>1</v>
      </c>
      <c r="Z234" s="414"/>
    </row>
    <row r="235" spans="2:26" s="413" customFormat="1" ht="11.25" customHeight="1" x14ac:dyDescent="0.25">
      <c r="B235" s="431">
        <v>232</v>
      </c>
      <c r="C235" s="449" t="s">
        <v>1236</v>
      </c>
      <c r="D235" s="459" t="s">
        <v>1245</v>
      </c>
      <c r="E235" s="431" t="s">
        <v>1727</v>
      </c>
      <c r="F235" s="512" t="s">
        <v>1724</v>
      </c>
      <c r="G235" s="439"/>
      <c r="H235" s="439"/>
      <c r="I235" s="440"/>
      <c r="J235" s="414"/>
      <c r="L235" s="414">
        <v>2</v>
      </c>
      <c r="M235" s="414"/>
      <c r="N235" s="414">
        <v>1</v>
      </c>
      <c r="O235" s="386">
        <f t="shared" si="4"/>
        <v>1</v>
      </c>
      <c r="P235" s="414">
        <v>0</v>
      </c>
      <c r="Q235" s="414">
        <v>0</v>
      </c>
      <c r="R235" s="414">
        <v>1</v>
      </c>
      <c r="S235" s="414">
        <v>1</v>
      </c>
      <c r="T235" s="414">
        <v>1</v>
      </c>
      <c r="U235" s="414"/>
      <c r="V235" s="414">
        <v>0</v>
      </c>
      <c r="W235" s="414">
        <v>1</v>
      </c>
      <c r="X235" s="414">
        <v>1</v>
      </c>
      <c r="Y235" s="414">
        <v>1</v>
      </c>
      <c r="Z235" s="414"/>
    </row>
    <row r="236" spans="2:26" s="413" customFormat="1" ht="11.25" customHeight="1" x14ac:dyDescent="0.25">
      <c r="B236" s="431">
        <v>233</v>
      </c>
      <c r="C236" s="449"/>
      <c r="D236" s="459" t="s">
        <v>1246</v>
      </c>
      <c r="E236" s="431" t="s">
        <v>1706</v>
      </c>
      <c r="F236" s="512" t="s">
        <v>1724</v>
      </c>
      <c r="G236" s="439"/>
      <c r="H236" s="439"/>
      <c r="I236" s="440"/>
      <c r="J236" s="414"/>
      <c r="L236" s="414">
        <v>2</v>
      </c>
      <c r="M236" s="414"/>
      <c r="N236" s="414">
        <v>1</v>
      </c>
      <c r="O236" s="386">
        <f t="shared" si="4"/>
        <v>1</v>
      </c>
      <c r="P236" s="414">
        <v>0</v>
      </c>
      <c r="Q236" s="414">
        <v>0</v>
      </c>
      <c r="R236" s="414">
        <v>1</v>
      </c>
      <c r="S236" s="414">
        <v>1</v>
      </c>
      <c r="T236" s="414">
        <v>1</v>
      </c>
      <c r="U236" s="414"/>
      <c r="V236" s="414">
        <v>0</v>
      </c>
      <c r="W236" s="414">
        <v>1</v>
      </c>
      <c r="X236" s="414">
        <v>1</v>
      </c>
      <c r="Y236" s="414">
        <v>1</v>
      </c>
      <c r="Z236" s="414"/>
    </row>
    <row r="237" spans="2:26" s="413" customFormat="1" ht="11.25" customHeight="1" x14ac:dyDescent="0.25">
      <c r="B237" s="431">
        <v>234</v>
      </c>
      <c r="C237" s="449" t="s">
        <v>1236</v>
      </c>
      <c r="D237" s="459" t="s">
        <v>1247</v>
      </c>
      <c r="E237" s="431" t="s">
        <v>1706</v>
      </c>
      <c r="F237" s="512" t="s">
        <v>1724</v>
      </c>
      <c r="G237" s="439"/>
      <c r="H237" s="439"/>
      <c r="I237" s="440"/>
      <c r="J237" s="414"/>
      <c r="L237" s="414">
        <v>2</v>
      </c>
      <c r="M237" s="414"/>
      <c r="N237" s="414">
        <v>1</v>
      </c>
      <c r="O237" s="386">
        <f t="shared" si="4"/>
        <v>1</v>
      </c>
      <c r="P237" s="414">
        <v>0</v>
      </c>
      <c r="Q237" s="414">
        <v>0</v>
      </c>
      <c r="R237" s="414">
        <v>1</v>
      </c>
      <c r="S237" s="414">
        <v>1</v>
      </c>
      <c r="T237" s="414">
        <v>1</v>
      </c>
      <c r="U237" s="414"/>
      <c r="V237" s="414">
        <v>0</v>
      </c>
      <c r="W237" s="414">
        <v>1</v>
      </c>
      <c r="X237" s="414">
        <v>1</v>
      </c>
      <c r="Y237" s="414">
        <v>1</v>
      </c>
      <c r="Z237" s="414"/>
    </row>
    <row r="238" spans="2:26" s="413" customFormat="1" ht="11.25" customHeight="1" x14ac:dyDescent="0.25">
      <c r="B238" s="431">
        <v>235</v>
      </c>
      <c r="C238" s="437" t="s">
        <v>1248</v>
      </c>
      <c r="D238" s="438" t="s">
        <v>88</v>
      </c>
      <c r="E238" s="431" t="s">
        <v>1249</v>
      </c>
      <c r="F238" s="464" t="str">
        <f>'MT-ETUS'!M160&amp;" - El máximo recomendado es  "&amp;'MT-ETUS'!U160</f>
        <v xml:space="preserve"> - El máximo recomendado es  </v>
      </c>
      <c r="G238" s="439"/>
      <c r="H238" s="439"/>
      <c r="I238" s="440"/>
      <c r="J238" s="414"/>
      <c r="L238" s="414">
        <v>4</v>
      </c>
      <c r="M238" s="414"/>
      <c r="N238" s="414">
        <v>1</v>
      </c>
      <c r="O238" s="386">
        <f t="shared" si="4"/>
        <v>1</v>
      </c>
      <c r="P238" s="414">
        <v>0</v>
      </c>
      <c r="Q238" s="414">
        <v>0</v>
      </c>
      <c r="R238" s="414">
        <v>1</v>
      </c>
      <c r="S238" s="414">
        <v>1</v>
      </c>
      <c r="T238" s="414">
        <v>1</v>
      </c>
      <c r="U238" s="414"/>
      <c r="V238" s="414">
        <v>0</v>
      </c>
      <c r="W238" s="414">
        <v>0</v>
      </c>
      <c r="X238" s="414">
        <v>0</v>
      </c>
      <c r="Y238" s="414">
        <v>0</v>
      </c>
      <c r="Z238" s="414"/>
    </row>
    <row r="239" spans="2:26" s="413" customFormat="1" ht="11.25" customHeight="1" x14ac:dyDescent="0.25">
      <c r="B239" s="431">
        <v>236</v>
      </c>
      <c r="C239" s="437" t="s">
        <v>1248</v>
      </c>
      <c r="D239" s="438" t="s">
        <v>104</v>
      </c>
      <c r="E239" s="431" t="s">
        <v>1250</v>
      </c>
      <c r="F239" s="464">
        <f>'MT-ETUS'!M161</f>
        <v>0</v>
      </c>
      <c r="G239" s="439"/>
      <c r="H239" s="439"/>
      <c r="I239" s="440"/>
      <c r="J239" s="414"/>
      <c r="L239" s="414">
        <v>4</v>
      </c>
      <c r="M239" s="414"/>
      <c r="N239" s="414">
        <v>1</v>
      </c>
      <c r="O239" s="386">
        <f t="shared" si="4"/>
        <v>1</v>
      </c>
      <c r="P239" s="414">
        <v>0</v>
      </c>
      <c r="Q239" s="414">
        <v>0</v>
      </c>
      <c r="R239" s="414">
        <v>1</v>
      </c>
      <c r="S239" s="414">
        <v>1</v>
      </c>
      <c r="T239" s="414">
        <v>1</v>
      </c>
      <c r="U239" s="414"/>
      <c r="V239" s="414">
        <v>0</v>
      </c>
      <c r="W239" s="414">
        <v>0</v>
      </c>
      <c r="X239" s="414">
        <v>0</v>
      </c>
      <c r="Y239" s="414">
        <v>0</v>
      </c>
      <c r="Z239" s="414"/>
    </row>
    <row r="240" spans="2:26" s="413" customFormat="1" ht="11.25" customHeight="1" x14ac:dyDescent="0.25">
      <c r="B240" s="431">
        <v>237</v>
      </c>
      <c r="C240" s="437" t="s">
        <v>1248</v>
      </c>
      <c r="D240" s="438" t="s">
        <v>105</v>
      </c>
      <c r="E240" s="431" t="s">
        <v>1251</v>
      </c>
      <c r="F240" s="464">
        <f>'MT-ETUS'!M162</f>
        <v>0</v>
      </c>
      <c r="G240" s="439"/>
      <c r="H240" s="439"/>
      <c r="I240" s="440"/>
      <c r="J240" s="414"/>
      <c r="L240" s="414">
        <v>4</v>
      </c>
      <c r="M240" s="414"/>
      <c r="N240" s="414">
        <v>1</v>
      </c>
      <c r="O240" s="386">
        <f t="shared" si="4"/>
        <v>1</v>
      </c>
      <c r="P240" s="414">
        <v>0</v>
      </c>
      <c r="Q240" s="414">
        <v>0</v>
      </c>
      <c r="R240" s="414">
        <v>1</v>
      </c>
      <c r="S240" s="414">
        <v>1</v>
      </c>
      <c r="T240" s="414">
        <v>1</v>
      </c>
      <c r="U240" s="414"/>
      <c r="V240" s="414">
        <v>0</v>
      </c>
      <c r="W240" s="414">
        <v>0</v>
      </c>
      <c r="X240" s="414">
        <v>0</v>
      </c>
      <c r="Y240" s="414">
        <v>0</v>
      </c>
      <c r="Z240" s="414"/>
    </row>
    <row r="241" spans="2:26" s="413" customFormat="1" ht="11.25" customHeight="1" x14ac:dyDescent="0.25">
      <c r="B241" s="431">
        <v>238</v>
      </c>
      <c r="C241" s="437" t="s">
        <v>1252</v>
      </c>
      <c r="D241" s="438" t="s">
        <v>1253</v>
      </c>
      <c r="E241" s="431" t="s">
        <v>1254</v>
      </c>
      <c r="F241" s="448" t="str">
        <f>'MT-ETUS'!M163&amp;" iguales y "&amp;'MT-ETUS'!Q163</f>
        <v xml:space="preserve">- iguales y </v>
      </c>
      <c r="G241" s="439"/>
      <c r="H241" s="439"/>
      <c r="I241" s="440"/>
      <c r="J241" s="414"/>
      <c r="L241" s="414">
        <v>2</v>
      </c>
      <c r="M241" s="414"/>
      <c r="N241" s="414">
        <v>1</v>
      </c>
      <c r="O241" s="386">
        <f t="shared" si="4"/>
        <v>1</v>
      </c>
      <c r="P241" s="414">
        <v>0</v>
      </c>
      <c r="Q241" s="414">
        <v>0</v>
      </c>
      <c r="R241" s="414">
        <v>1</v>
      </c>
      <c r="S241" s="414">
        <v>1</v>
      </c>
      <c r="T241" s="414">
        <v>1</v>
      </c>
      <c r="U241" s="414"/>
      <c r="V241" s="414">
        <v>0</v>
      </c>
      <c r="W241" s="414">
        <v>0</v>
      </c>
      <c r="X241" s="414">
        <v>0</v>
      </c>
      <c r="Y241" s="414">
        <v>0</v>
      </c>
      <c r="Z241" s="414"/>
    </row>
    <row r="242" spans="2:26" s="413" customFormat="1" ht="11.25" customHeight="1" x14ac:dyDescent="0.25">
      <c r="B242" s="431">
        <v>239</v>
      </c>
      <c r="C242" s="437" t="s">
        <v>1255</v>
      </c>
      <c r="D242" s="438" t="s">
        <v>1256</v>
      </c>
      <c r="E242" s="431" t="s">
        <v>1257</v>
      </c>
      <c r="F242" s="448" t="str">
        <f>'MT-ETUS'!M164&amp;" equilibrado y "&amp;'MT-ETUS'!Q164</f>
        <v xml:space="preserve">- equilibrado y </v>
      </c>
      <c r="G242" s="439"/>
      <c r="H242" s="439"/>
      <c r="I242" s="440"/>
      <c r="J242" s="414"/>
      <c r="L242" s="414">
        <v>4</v>
      </c>
      <c r="M242" s="414"/>
      <c r="N242" s="414">
        <v>1</v>
      </c>
      <c r="O242" s="386">
        <f t="shared" si="4"/>
        <v>1</v>
      </c>
      <c r="P242" s="414">
        <v>0</v>
      </c>
      <c r="Q242" s="414">
        <v>0</v>
      </c>
      <c r="R242" s="414">
        <v>1</v>
      </c>
      <c r="S242" s="414">
        <v>1</v>
      </c>
      <c r="T242" s="414">
        <v>1</v>
      </c>
      <c r="U242" s="414"/>
      <c r="V242" s="414">
        <v>0</v>
      </c>
      <c r="W242" s="414">
        <v>0</v>
      </c>
      <c r="X242" s="414">
        <v>0</v>
      </c>
      <c r="Y242" s="414">
        <v>0</v>
      </c>
      <c r="Z242" s="414"/>
    </row>
    <row r="243" spans="2:26" s="413" customFormat="1" ht="11.25" customHeight="1" x14ac:dyDescent="0.25">
      <c r="B243" s="431">
        <v>240</v>
      </c>
      <c r="C243" s="437" t="s">
        <v>1258</v>
      </c>
      <c r="D243" s="438" t="s">
        <v>226</v>
      </c>
      <c r="E243" s="431" t="s">
        <v>1259</v>
      </c>
      <c r="F243" s="448" t="str">
        <f>'MT-ETUS'!M167&amp;" control largo plazo y "&amp;'MT-ETUS'!Q167</f>
        <v xml:space="preserve">si control largo plazo y </v>
      </c>
      <c r="G243" s="439"/>
      <c r="H243" s="439"/>
      <c r="I243" s="440"/>
      <c r="J243" s="414"/>
      <c r="L243" s="414">
        <v>4</v>
      </c>
      <c r="M243" s="414"/>
      <c r="N243" s="414">
        <v>1</v>
      </c>
      <c r="O243" s="386">
        <f t="shared" si="4"/>
        <v>1</v>
      </c>
      <c r="P243" s="414">
        <v>0</v>
      </c>
      <c r="Q243" s="414">
        <v>0</v>
      </c>
      <c r="R243" s="414">
        <v>1</v>
      </c>
      <c r="S243" s="414">
        <v>1</v>
      </c>
      <c r="T243" s="414">
        <v>1</v>
      </c>
      <c r="U243" s="414"/>
      <c r="V243" s="414">
        <v>0</v>
      </c>
      <c r="W243" s="414">
        <v>0</v>
      </c>
      <c r="X243" s="414">
        <v>0</v>
      </c>
      <c r="Y243" s="414">
        <v>0</v>
      </c>
      <c r="Z243" s="414"/>
    </row>
    <row r="244" spans="2:26" s="413" customFormat="1" ht="11.25" customHeight="1" x14ac:dyDescent="0.25">
      <c r="B244" s="431">
        <v>241</v>
      </c>
      <c r="C244" s="437" t="s">
        <v>1260</v>
      </c>
      <c r="D244" s="438" t="s">
        <v>409</v>
      </c>
      <c r="E244" s="431" t="s">
        <v>1261</v>
      </c>
      <c r="F244" s="448" t="str">
        <f>'MT-ETUS'!M168&amp;" previsión válvulas y "&amp;'MT-ETUS'!Q168</f>
        <v xml:space="preserve">- previsión válvulas y </v>
      </c>
      <c r="G244" s="439"/>
      <c r="H244" s="439"/>
      <c r="I244" s="440"/>
      <c r="J244" s="414"/>
      <c r="L244" s="414">
        <v>2</v>
      </c>
      <c r="M244" s="414"/>
      <c r="N244" s="414">
        <v>1</v>
      </c>
      <c r="O244" s="386">
        <f t="shared" si="4"/>
        <v>1</v>
      </c>
      <c r="P244" s="414">
        <v>0</v>
      </c>
      <c r="Q244" s="414">
        <v>0</v>
      </c>
      <c r="R244" s="414">
        <v>1</v>
      </c>
      <c r="S244" s="414">
        <v>1</v>
      </c>
      <c r="T244" s="414">
        <v>1</v>
      </c>
      <c r="U244" s="414"/>
      <c r="V244" s="414">
        <v>0</v>
      </c>
      <c r="W244" s="414">
        <v>0</v>
      </c>
      <c r="X244" s="414">
        <v>0</v>
      </c>
      <c r="Y244" s="414">
        <v>0</v>
      </c>
      <c r="Z244" s="414"/>
    </row>
    <row r="245" spans="2:26" s="413" customFormat="1" ht="11.25" customHeight="1" x14ac:dyDescent="0.25">
      <c r="B245" s="431">
        <v>242</v>
      </c>
      <c r="C245" s="437" t="s">
        <v>1262</v>
      </c>
      <c r="D245" s="438" t="s">
        <v>103</v>
      </c>
      <c r="E245" s="431" t="s">
        <v>1263</v>
      </c>
      <c r="F245" s="464">
        <f>'MT-ETUS'!M157</f>
        <v>0</v>
      </c>
      <c r="G245" s="439"/>
      <c r="H245" s="439"/>
      <c r="I245" s="440"/>
      <c r="J245" s="414"/>
      <c r="L245" s="414">
        <v>4</v>
      </c>
      <c r="M245" s="414"/>
      <c r="N245" s="414"/>
      <c r="O245" s="386">
        <f t="shared" si="4"/>
        <v>1</v>
      </c>
      <c r="P245" s="414">
        <v>0</v>
      </c>
      <c r="Q245" s="414">
        <v>0</v>
      </c>
      <c r="R245" s="414">
        <v>1</v>
      </c>
      <c r="S245" s="414">
        <v>1</v>
      </c>
      <c r="T245" s="414">
        <v>1</v>
      </c>
      <c r="U245" s="414"/>
      <c r="V245" s="414">
        <v>0</v>
      </c>
      <c r="W245" s="414">
        <v>0</v>
      </c>
      <c r="X245" s="414">
        <v>0</v>
      </c>
      <c r="Y245" s="414">
        <v>0</v>
      </c>
      <c r="Z245" s="414"/>
    </row>
    <row r="246" spans="2:26" s="413" customFormat="1" ht="11.25" customHeight="1" x14ac:dyDescent="0.25">
      <c r="B246" s="431">
        <v>243</v>
      </c>
      <c r="C246" s="437" t="s">
        <v>1262</v>
      </c>
      <c r="D246" s="438" t="s">
        <v>292</v>
      </c>
      <c r="E246" s="431" t="s">
        <v>1264</v>
      </c>
      <c r="F246" s="465" t="e">
        <f>'MT-ETUS'!M159</f>
        <v>#DIV/0!</v>
      </c>
      <c r="G246" s="453"/>
      <c r="H246" s="453"/>
      <c r="I246" s="454"/>
      <c r="J246" s="414"/>
      <c r="L246" s="414">
        <v>5</v>
      </c>
      <c r="M246" s="414"/>
      <c r="N246" s="414"/>
      <c r="O246" s="386">
        <f t="shared" si="4"/>
        <v>1</v>
      </c>
      <c r="P246" s="414">
        <v>0</v>
      </c>
      <c r="Q246" s="414">
        <v>1</v>
      </c>
      <c r="R246" s="414">
        <v>1</v>
      </c>
      <c r="S246" s="414">
        <v>1</v>
      </c>
      <c r="T246" s="414">
        <v>1</v>
      </c>
      <c r="U246" s="414"/>
      <c r="V246" s="414">
        <v>0</v>
      </c>
      <c r="W246" s="414">
        <v>0</v>
      </c>
      <c r="X246" s="414">
        <v>0</v>
      </c>
      <c r="Y246" s="414">
        <v>0</v>
      </c>
      <c r="Z246" s="414"/>
    </row>
    <row r="247" spans="2:26" s="413" customFormat="1" ht="11.25" customHeight="1" x14ac:dyDescent="0.25">
      <c r="B247" s="431">
        <v>244</v>
      </c>
      <c r="C247" s="437" t="s">
        <v>1265</v>
      </c>
      <c r="D247" s="438" t="s">
        <v>1266</v>
      </c>
      <c r="E247" s="431" t="s">
        <v>1267</v>
      </c>
      <c r="F247" s="448" t="e">
        <f>'MT-ETUS'!M158&amp;" l/h.m2 y "&amp;'MT-ETUS'!R158&amp;" en rango y "&amp;'MT-ETUS'!S158</f>
        <v>#DIV/0!</v>
      </c>
      <c r="G247" s="439"/>
      <c r="H247" s="439"/>
      <c r="I247" s="440"/>
      <c r="J247" s="414"/>
      <c r="L247" s="414">
        <v>5</v>
      </c>
      <c r="M247" s="414"/>
      <c r="N247" s="414"/>
      <c r="O247" s="386">
        <f t="shared" si="4"/>
        <v>1</v>
      </c>
      <c r="P247" s="414">
        <v>0</v>
      </c>
      <c r="Q247" s="414">
        <v>0</v>
      </c>
      <c r="R247" s="414">
        <v>1</v>
      </c>
      <c r="S247" s="414">
        <v>1</v>
      </c>
      <c r="T247" s="414">
        <v>1</v>
      </c>
      <c r="U247" s="414"/>
      <c r="V247" s="414">
        <v>0</v>
      </c>
      <c r="W247" s="414">
        <v>0</v>
      </c>
      <c r="X247" s="414">
        <v>0</v>
      </c>
      <c r="Y247" s="414">
        <v>0</v>
      </c>
      <c r="Z247" s="414"/>
    </row>
    <row r="248" spans="2:26" s="413" customFormat="1" ht="11.25" customHeight="1" x14ac:dyDescent="0.25">
      <c r="B248" s="431">
        <v>245</v>
      </c>
      <c r="C248" s="437" t="s">
        <v>1268</v>
      </c>
      <c r="D248" s="438" t="s">
        <v>136</v>
      </c>
      <c r="E248" s="431" t="s">
        <v>1269</v>
      </c>
      <c r="F248" s="463" t="str">
        <f>'MT-ETUS'!M156&amp;" l/h y revisar por tramos en planos y DA-3"</f>
        <v>0 l/h y revisar por tramos en planos y DA-3</v>
      </c>
      <c r="G248" s="439"/>
      <c r="H248" s="439"/>
      <c r="I248" s="440"/>
      <c r="J248" s="414"/>
      <c r="K248" s="413" t="s">
        <v>1270</v>
      </c>
      <c r="L248" s="414">
        <v>4</v>
      </c>
      <c r="M248" s="414"/>
      <c r="N248" s="414"/>
      <c r="O248" s="386">
        <f t="shared" si="4"/>
        <v>1</v>
      </c>
      <c r="P248" s="414">
        <v>0</v>
      </c>
      <c r="Q248" s="414">
        <v>1</v>
      </c>
      <c r="R248" s="414">
        <v>1</v>
      </c>
      <c r="S248" s="414">
        <v>1</v>
      </c>
      <c r="T248" s="414">
        <v>1</v>
      </c>
      <c r="U248" s="414"/>
      <c r="V248" s="414">
        <v>0</v>
      </c>
      <c r="W248" s="414">
        <v>0</v>
      </c>
      <c r="X248" s="414">
        <v>0</v>
      </c>
      <c r="Y248" s="414">
        <v>0</v>
      </c>
      <c r="Z248" s="414"/>
    </row>
    <row r="249" spans="2:26" s="413" customFormat="1" ht="11.25" customHeight="1" x14ac:dyDescent="0.25">
      <c r="B249" s="431">
        <v>246</v>
      </c>
      <c r="C249" s="437" t="s">
        <v>1271</v>
      </c>
      <c r="D249" s="438" t="s">
        <v>100</v>
      </c>
      <c r="E249" s="431" t="s">
        <v>871</v>
      </c>
      <c r="F249" s="448">
        <f>'MT-ETUS'!M180</f>
        <v>0</v>
      </c>
      <c r="G249" s="439"/>
      <c r="H249" s="439"/>
      <c r="I249" s="440"/>
      <c r="J249" s="414"/>
      <c r="L249" s="414">
        <v>0</v>
      </c>
      <c r="M249" s="414"/>
      <c r="N249" s="414"/>
      <c r="O249" s="386">
        <f t="shared" si="4"/>
        <v>1</v>
      </c>
      <c r="P249" s="414">
        <v>0</v>
      </c>
      <c r="Q249" s="414">
        <v>0</v>
      </c>
      <c r="R249" s="414">
        <v>1</v>
      </c>
      <c r="S249" s="414">
        <v>1</v>
      </c>
      <c r="T249" s="414">
        <v>1</v>
      </c>
      <c r="U249" s="414"/>
      <c r="V249" s="414">
        <v>0</v>
      </c>
      <c r="W249" s="414">
        <v>0</v>
      </c>
      <c r="X249" s="414">
        <v>0</v>
      </c>
      <c r="Y249" s="414">
        <v>0</v>
      </c>
      <c r="Z249" s="414"/>
    </row>
    <row r="250" spans="2:26" s="413" customFormat="1" ht="11.25" customHeight="1" x14ac:dyDescent="0.25">
      <c r="B250" s="431">
        <v>247</v>
      </c>
      <c r="C250" s="437" t="s">
        <v>1271</v>
      </c>
      <c r="D250" s="438" t="s">
        <v>37</v>
      </c>
      <c r="E250" s="431" t="s">
        <v>1272</v>
      </c>
      <c r="F250" s="448">
        <f>'MT-ETUS'!M181</f>
        <v>0</v>
      </c>
      <c r="G250" s="439"/>
      <c r="H250" s="439"/>
      <c r="I250" s="440"/>
      <c r="J250" s="414"/>
      <c r="L250" s="414">
        <v>0</v>
      </c>
      <c r="M250" s="414"/>
      <c r="N250" s="414"/>
      <c r="O250" s="386">
        <f t="shared" si="4"/>
        <v>1</v>
      </c>
      <c r="P250" s="414">
        <v>0</v>
      </c>
      <c r="Q250" s="414">
        <v>0</v>
      </c>
      <c r="R250" s="414">
        <v>1</v>
      </c>
      <c r="S250" s="414">
        <v>1</v>
      </c>
      <c r="T250" s="414">
        <v>1</v>
      </c>
      <c r="U250" s="414"/>
      <c r="V250" s="414">
        <v>0</v>
      </c>
      <c r="W250" s="414">
        <v>0</v>
      </c>
      <c r="X250" s="414">
        <v>0</v>
      </c>
      <c r="Y250" s="414">
        <v>0</v>
      </c>
      <c r="Z250" s="414"/>
    </row>
    <row r="251" spans="2:26" s="413" customFormat="1" ht="11.25" customHeight="1" x14ac:dyDescent="0.25">
      <c r="B251" s="431">
        <v>248</v>
      </c>
      <c r="C251" s="437" t="s">
        <v>1271</v>
      </c>
      <c r="D251" s="438" t="s">
        <v>361</v>
      </c>
      <c r="E251" s="431" t="s">
        <v>1273</v>
      </c>
      <c r="F251" s="448">
        <f>'MT-ETUS'!M182</f>
        <v>0</v>
      </c>
      <c r="G251" s="439"/>
      <c r="H251" s="439"/>
      <c r="I251" s="440"/>
      <c r="J251" s="414"/>
      <c r="L251" s="414">
        <v>0</v>
      </c>
      <c r="M251" s="414"/>
      <c r="N251" s="414"/>
      <c r="O251" s="386">
        <f t="shared" si="4"/>
        <v>1</v>
      </c>
      <c r="P251" s="414">
        <v>0</v>
      </c>
      <c r="Q251" s="414">
        <v>0</v>
      </c>
      <c r="R251" s="414">
        <v>1</v>
      </c>
      <c r="S251" s="414">
        <v>1</v>
      </c>
      <c r="T251" s="414">
        <v>1</v>
      </c>
      <c r="U251" s="414"/>
      <c r="V251" s="414">
        <v>0</v>
      </c>
      <c r="W251" s="414">
        <v>0</v>
      </c>
      <c r="X251" s="414">
        <v>0</v>
      </c>
      <c r="Y251" s="414">
        <v>0</v>
      </c>
      <c r="Z251" s="414"/>
    </row>
    <row r="252" spans="2:26" s="413" customFormat="1" ht="11.25" customHeight="1" x14ac:dyDescent="0.25">
      <c r="B252" s="431">
        <v>249</v>
      </c>
      <c r="C252" s="437" t="s">
        <v>1271</v>
      </c>
      <c r="D252" s="438" t="s">
        <v>137</v>
      </c>
      <c r="E252" s="431" t="s">
        <v>1274</v>
      </c>
      <c r="F252" s="464">
        <f>'MT-ETUS'!M186</f>
        <v>0</v>
      </c>
      <c r="G252" s="466"/>
      <c r="H252" s="466"/>
      <c r="I252" s="467"/>
      <c r="J252" s="414"/>
      <c r="L252" s="414">
        <v>0</v>
      </c>
      <c r="M252" s="414"/>
      <c r="N252" s="414"/>
      <c r="O252" s="386">
        <f t="shared" si="4"/>
        <v>1</v>
      </c>
      <c r="P252" s="414">
        <v>1</v>
      </c>
      <c r="Q252" s="414">
        <v>1</v>
      </c>
      <c r="R252" s="414">
        <v>1</v>
      </c>
      <c r="S252" s="414">
        <v>1</v>
      </c>
      <c r="T252" s="414">
        <v>1</v>
      </c>
      <c r="U252" s="414"/>
      <c r="V252" s="414">
        <v>0</v>
      </c>
      <c r="W252" s="414">
        <v>0</v>
      </c>
      <c r="X252" s="414">
        <v>0</v>
      </c>
      <c r="Y252" s="414">
        <v>0</v>
      </c>
      <c r="Z252" s="414"/>
    </row>
    <row r="253" spans="2:26" s="413" customFormat="1" ht="11.25" customHeight="1" x14ac:dyDescent="0.25">
      <c r="B253" s="431">
        <v>250</v>
      </c>
      <c r="C253" s="437" t="s">
        <v>1271</v>
      </c>
      <c r="D253" s="438" t="s">
        <v>155</v>
      </c>
      <c r="E253" s="431" t="s">
        <v>1275</v>
      </c>
      <c r="F253" s="464" t="str">
        <f>'MT-ETUS'!M187&amp;" y "&amp;'MT-ETUS'!R187&amp;" son iguales"</f>
        <v>0 y - son iguales</v>
      </c>
      <c r="G253" s="466"/>
      <c r="H253" s="466"/>
      <c r="I253" s="467"/>
      <c r="J253" s="414"/>
      <c r="L253" s="414">
        <v>0</v>
      </c>
      <c r="M253" s="414"/>
      <c r="N253" s="414"/>
      <c r="O253" s="386">
        <f t="shared" si="4"/>
        <v>1</v>
      </c>
      <c r="P253" s="414">
        <v>1</v>
      </c>
      <c r="Q253" s="414">
        <v>1</v>
      </c>
      <c r="R253" s="414">
        <v>1</v>
      </c>
      <c r="S253" s="414">
        <v>1</v>
      </c>
      <c r="T253" s="414">
        <v>1</v>
      </c>
      <c r="U253" s="414"/>
      <c r="V253" s="414">
        <v>0</v>
      </c>
      <c r="W253" s="414">
        <v>0</v>
      </c>
      <c r="X253" s="414">
        <v>0</v>
      </c>
      <c r="Y253" s="414">
        <v>0</v>
      </c>
      <c r="Z253" s="414"/>
    </row>
    <row r="254" spans="2:26" s="413" customFormat="1" ht="11.25" customHeight="1" x14ac:dyDescent="0.25">
      <c r="B254" s="431">
        <v>251</v>
      </c>
      <c r="C254" s="437" t="s">
        <v>1271</v>
      </c>
      <c r="D254" s="438" t="s">
        <v>138</v>
      </c>
      <c r="E254" s="431" t="s">
        <v>1276</v>
      </c>
      <c r="F254" s="448" t="str">
        <f>'MT-ETUS'!M188&amp;" - Composición: "&amp;'MT-ETUS'!R188</f>
        <v xml:space="preserve">0 - Composición: </v>
      </c>
      <c r="G254" s="466"/>
      <c r="H254" s="466"/>
      <c r="I254" s="467"/>
      <c r="J254" s="414"/>
      <c r="L254" s="414">
        <v>0</v>
      </c>
      <c r="M254" s="414"/>
      <c r="N254" s="414"/>
      <c r="O254" s="386">
        <f t="shared" si="4"/>
        <v>1</v>
      </c>
      <c r="P254" s="414">
        <v>1</v>
      </c>
      <c r="Q254" s="414">
        <v>1</v>
      </c>
      <c r="R254" s="414">
        <v>1</v>
      </c>
      <c r="S254" s="414">
        <v>1</v>
      </c>
      <c r="T254" s="414">
        <v>1</v>
      </c>
      <c r="U254" s="414"/>
      <c r="V254" s="414">
        <v>0</v>
      </c>
      <c r="W254" s="414">
        <v>0</v>
      </c>
      <c r="X254" s="414">
        <v>0</v>
      </c>
      <c r="Y254" s="414">
        <v>0</v>
      </c>
      <c r="Z254" s="414"/>
    </row>
    <row r="255" spans="2:26" s="413" customFormat="1" ht="11.25" customHeight="1" x14ac:dyDescent="0.25">
      <c r="B255" s="431">
        <v>252</v>
      </c>
      <c r="C255" s="437" t="s">
        <v>1277</v>
      </c>
      <c r="D255" s="438" t="s">
        <v>38</v>
      </c>
      <c r="E255" s="431" t="s">
        <v>1278</v>
      </c>
      <c r="F255" s="448" t="str">
        <f>'MT-ETUS'!M192&amp;" y "&amp;'MT-ETUS'!Q192</f>
        <v xml:space="preserve">- y </v>
      </c>
      <c r="G255" s="466"/>
      <c r="H255" s="466"/>
      <c r="I255" s="467"/>
      <c r="J255" s="414"/>
      <c r="L255" s="414">
        <v>5</v>
      </c>
      <c r="M255" s="414"/>
      <c r="N255" s="414"/>
      <c r="O255" s="386">
        <f t="shared" si="4"/>
        <v>1</v>
      </c>
      <c r="P255" s="414">
        <v>1</v>
      </c>
      <c r="Q255" s="414">
        <v>1</v>
      </c>
      <c r="R255" s="414">
        <v>1</v>
      </c>
      <c r="S255" s="414">
        <v>1</v>
      </c>
      <c r="T255" s="414">
        <v>1</v>
      </c>
      <c r="U255" s="414"/>
      <c r="V255" s="414">
        <v>0</v>
      </c>
      <c r="W255" s="414">
        <v>0</v>
      </c>
      <c r="X255" s="414">
        <v>0</v>
      </c>
      <c r="Y255" s="414">
        <v>0</v>
      </c>
      <c r="Z255" s="414"/>
    </row>
    <row r="256" spans="2:26" s="413" customFormat="1" ht="11.25" customHeight="1" x14ac:dyDescent="0.25">
      <c r="B256" s="431">
        <v>253</v>
      </c>
      <c r="C256" s="437" t="s">
        <v>1279</v>
      </c>
      <c r="D256" s="438" t="s">
        <v>377</v>
      </c>
      <c r="E256" s="431" t="s">
        <v>1280</v>
      </c>
      <c r="F256" s="448" t="str">
        <f>'MT-ETUS'!M193&amp;" y "&amp;'MT-ETUS'!Q193</f>
        <v xml:space="preserve">- y </v>
      </c>
      <c r="G256" s="466"/>
      <c r="H256" s="466"/>
      <c r="I256" s="467"/>
      <c r="J256" s="414"/>
      <c r="L256" s="414">
        <v>5</v>
      </c>
      <c r="M256" s="414"/>
      <c r="N256" s="414">
        <v>1</v>
      </c>
      <c r="O256" s="386">
        <f t="shared" si="4"/>
        <v>1</v>
      </c>
      <c r="P256" s="414">
        <v>1</v>
      </c>
      <c r="Q256" s="414">
        <v>1</v>
      </c>
      <c r="R256" s="414">
        <v>1</v>
      </c>
      <c r="S256" s="414">
        <v>1</v>
      </c>
      <c r="T256" s="414">
        <v>1</v>
      </c>
      <c r="U256" s="414"/>
      <c r="V256" s="414">
        <v>0</v>
      </c>
      <c r="W256" s="414">
        <v>0</v>
      </c>
      <c r="X256" s="414">
        <v>0</v>
      </c>
      <c r="Y256" s="414">
        <v>0</v>
      </c>
      <c r="Z256" s="414"/>
    </row>
    <row r="257" spans="2:26" s="413" customFormat="1" ht="11.25" customHeight="1" x14ac:dyDescent="0.25">
      <c r="B257" s="431">
        <v>254</v>
      </c>
      <c r="C257" s="437" t="s">
        <v>1281</v>
      </c>
      <c r="D257" s="438" t="s">
        <v>1282</v>
      </c>
      <c r="E257" s="431" t="s">
        <v>1283</v>
      </c>
      <c r="F257" s="448" t="e">
        <f>ROUND('MT-ETUS'!M189,1)&amp;" y "&amp;'MT-ETUS'!R189&amp;" cumple ≥ 60"</f>
        <v>#DIV/0!</v>
      </c>
      <c r="G257" s="466"/>
      <c r="H257" s="466"/>
      <c r="I257" s="467"/>
      <c r="J257" s="414"/>
      <c r="L257" s="414">
        <v>5</v>
      </c>
      <c r="M257" s="414"/>
      <c r="N257" s="414"/>
      <c r="O257" s="386">
        <f t="shared" si="4"/>
        <v>1</v>
      </c>
      <c r="P257" s="414">
        <v>1</v>
      </c>
      <c r="Q257" s="414">
        <v>1</v>
      </c>
      <c r="R257" s="414">
        <v>1</v>
      </c>
      <c r="S257" s="414">
        <v>1</v>
      </c>
      <c r="T257" s="414">
        <v>1</v>
      </c>
      <c r="U257" s="414"/>
      <c r="V257" s="414">
        <v>0</v>
      </c>
      <c r="W257" s="414">
        <v>0</v>
      </c>
      <c r="X257" s="414">
        <v>0</v>
      </c>
      <c r="Y257" s="414">
        <v>0</v>
      </c>
      <c r="Z257" s="414"/>
    </row>
    <row r="258" spans="2:26" s="413" customFormat="1" ht="11.25" customHeight="1" x14ac:dyDescent="0.25">
      <c r="B258" s="431">
        <v>255</v>
      </c>
      <c r="C258" s="437" t="s">
        <v>1284</v>
      </c>
      <c r="D258" s="438" t="s">
        <v>375</v>
      </c>
      <c r="E258" s="431" t="s">
        <v>1285</v>
      </c>
      <c r="F258" s="448" t="str">
        <f>'MT-ETUS'!M190&amp;" y "&amp;'MT-ETUS'!Q190</f>
        <v xml:space="preserve">- y </v>
      </c>
      <c r="G258" s="466"/>
      <c r="H258" s="466"/>
      <c r="I258" s="467"/>
      <c r="J258" s="414"/>
      <c r="L258" s="414">
        <v>4</v>
      </c>
      <c r="M258" s="414"/>
      <c r="N258" s="414">
        <v>1</v>
      </c>
      <c r="O258" s="386">
        <f t="shared" si="4"/>
        <v>1</v>
      </c>
      <c r="P258" s="414">
        <v>0</v>
      </c>
      <c r="Q258" s="414">
        <v>0</v>
      </c>
      <c r="R258" s="414">
        <v>1</v>
      </c>
      <c r="S258" s="414">
        <v>1</v>
      </c>
      <c r="T258" s="414">
        <v>1</v>
      </c>
      <c r="U258" s="414"/>
      <c r="V258" s="414">
        <v>0</v>
      </c>
      <c r="W258" s="414">
        <v>0</v>
      </c>
      <c r="X258" s="414">
        <v>0</v>
      </c>
      <c r="Y258" s="414">
        <v>0</v>
      </c>
      <c r="Z258" s="414"/>
    </row>
    <row r="259" spans="2:26" s="413" customFormat="1" ht="11.25" customHeight="1" x14ac:dyDescent="0.25">
      <c r="B259" s="431">
        <v>256</v>
      </c>
      <c r="C259" s="437" t="s">
        <v>1284</v>
      </c>
      <c r="D259" s="438" t="s">
        <v>1286</v>
      </c>
      <c r="E259" s="431" t="s">
        <v>1287</v>
      </c>
      <c r="F259" s="448" t="str">
        <f>'MT-ETUS'!M191&amp;" y "&amp;'MT-ETUS'!Q191</f>
        <v xml:space="preserve">- y </v>
      </c>
      <c r="G259" s="466"/>
      <c r="H259" s="466"/>
      <c r="I259" s="467"/>
      <c r="J259" s="414"/>
      <c r="L259" s="414">
        <v>4</v>
      </c>
      <c r="M259" s="414"/>
      <c r="N259" s="414"/>
      <c r="O259" s="386">
        <f t="shared" si="4"/>
        <v>1</v>
      </c>
      <c r="P259" s="414">
        <v>0</v>
      </c>
      <c r="Q259" s="414">
        <v>0</v>
      </c>
      <c r="R259" s="414">
        <v>1</v>
      </c>
      <c r="S259" s="414">
        <v>1</v>
      </c>
      <c r="T259" s="414">
        <v>1</v>
      </c>
      <c r="U259" s="414"/>
      <c r="V259" s="414">
        <v>0</v>
      </c>
      <c r="W259" s="414">
        <v>0</v>
      </c>
      <c r="X259" s="414">
        <v>0</v>
      </c>
      <c r="Y259" s="414">
        <v>0</v>
      </c>
      <c r="Z259" s="414"/>
    </row>
    <row r="260" spans="2:26" s="413" customFormat="1" ht="11.25" customHeight="1" x14ac:dyDescent="0.25">
      <c r="B260" s="431">
        <v>257</v>
      </c>
      <c r="C260" s="437" t="s">
        <v>1288</v>
      </c>
      <c r="D260" s="459" t="s">
        <v>1289</v>
      </c>
      <c r="E260" s="431"/>
      <c r="F260" s="512" t="s">
        <v>1724</v>
      </c>
      <c r="G260" s="439"/>
      <c r="H260" s="439"/>
      <c r="I260" s="440"/>
      <c r="J260" s="414"/>
      <c r="K260" s="413" t="s">
        <v>1708</v>
      </c>
      <c r="L260" s="414">
        <v>4</v>
      </c>
      <c r="M260" s="414"/>
      <c r="N260" s="414">
        <v>1</v>
      </c>
      <c r="O260" s="386">
        <f t="shared" ref="O260:O323" si="5">IF(O$3=0,0,IF(O$3=1,P260,IF(O$3=2,Q260,IF(O$3=3,R260,IF(O$3=4,S260,IF(O$3=5,T260,IF(O$3=6,V260,IF(O$3=7,W260,IF(O$3=8,X260,IF(O$3=9,Y260,0))))))))))</f>
        <v>1</v>
      </c>
      <c r="P260" s="414">
        <v>0</v>
      </c>
      <c r="Q260" s="414">
        <v>0</v>
      </c>
      <c r="R260" s="414">
        <v>1</v>
      </c>
      <c r="S260" s="414">
        <v>1</v>
      </c>
      <c r="T260" s="414">
        <v>1</v>
      </c>
      <c r="U260" s="414"/>
      <c r="V260" s="414">
        <v>0</v>
      </c>
      <c r="W260" s="414">
        <v>0</v>
      </c>
      <c r="X260" s="414">
        <v>0</v>
      </c>
      <c r="Y260" s="414">
        <v>0</v>
      </c>
      <c r="Z260" s="414"/>
    </row>
    <row r="261" spans="2:26" s="413" customFormat="1" ht="11.25" customHeight="1" x14ac:dyDescent="0.25">
      <c r="B261" s="431">
        <v>258</v>
      </c>
      <c r="C261" s="437" t="s">
        <v>1290</v>
      </c>
      <c r="D261" s="438" t="s">
        <v>158</v>
      </c>
      <c r="E261" s="431" t="s">
        <v>1291</v>
      </c>
      <c r="F261" s="448" t="str">
        <f>'MT-ETUS'!M205&amp;" y "&amp;'MT-ETUS'!Q205</f>
        <v xml:space="preserve">- y </v>
      </c>
      <c r="G261" s="466"/>
      <c r="H261" s="466"/>
      <c r="I261" s="467"/>
      <c r="J261" s="414"/>
      <c r="L261" s="414">
        <v>4</v>
      </c>
      <c r="M261" s="414"/>
      <c r="N261" s="414"/>
      <c r="O261" s="386">
        <f t="shared" si="5"/>
        <v>1</v>
      </c>
      <c r="P261" s="414">
        <v>0</v>
      </c>
      <c r="Q261" s="414">
        <v>0</v>
      </c>
      <c r="R261" s="414">
        <v>1</v>
      </c>
      <c r="S261" s="414">
        <v>1</v>
      </c>
      <c r="T261" s="414">
        <v>1</v>
      </c>
      <c r="U261" s="414"/>
      <c r="V261" s="414">
        <v>0</v>
      </c>
      <c r="W261" s="414">
        <v>0</v>
      </c>
      <c r="X261" s="414">
        <v>0</v>
      </c>
      <c r="Y261" s="414">
        <v>0</v>
      </c>
      <c r="Z261" s="414"/>
    </row>
    <row r="262" spans="2:26" s="413" customFormat="1" ht="11.25" customHeight="1" x14ac:dyDescent="0.25">
      <c r="B262" s="431">
        <v>259</v>
      </c>
      <c r="C262" s="437" t="s">
        <v>1290</v>
      </c>
      <c r="D262" s="438" t="s">
        <v>414</v>
      </c>
      <c r="E262" s="431" t="s">
        <v>1292</v>
      </c>
      <c r="F262" s="448" t="str">
        <f>'MT-ETUS'!M206&amp;" y "&amp;'MT-ETUS'!Q206</f>
        <v xml:space="preserve">- y </v>
      </c>
      <c r="G262" s="466"/>
      <c r="H262" s="466"/>
      <c r="I262" s="467"/>
      <c r="J262" s="414"/>
      <c r="L262" s="414">
        <v>4</v>
      </c>
      <c r="M262" s="414"/>
      <c r="N262" s="414"/>
      <c r="O262" s="386">
        <f t="shared" si="5"/>
        <v>1</v>
      </c>
      <c r="P262" s="414">
        <v>0</v>
      </c>
      <c r="Q262" s="414">
        <v>0</v>
      </c>
      <c r="R262" s="414">
        <v>0</v>
      </c>
      <c r="S262" s="414">
        <v>1</v>
      </c>
      <c r="T262" s="414">
        <v>1</v>
      </c>
      <c r="U262" s="414"/>
      <c r="V262" s="414">
        <v>0</v>
      </c>
      <c r="W262" s="414">
        <v>0</v>
      </c>
      <c r="X262" s="414">
        <v>0</v>
      </c>
      <c r="Y262" s="414">
        <v>0</v>
      </c>
      <c r="Z262" s="414"/>
    </row>
    <row r="263" spans="2:26" s="413" customFormat="1" ht="11.25" customHeight="1" x14ac:dyDescent="0.25">
      <c r="B263" s="431">
        <v>260</v>
      </c>
      <c r="C263" s="437" t="s">
        <v>1290</v>
      </c>
      <c r="D263" s="438" t="s">
        <v>1293</v>
      </c>
      <c r="E263" s="431" t="s">
        <v>1294</v>
      </c>
      <c r="F263" s="448" t="str">
        <f>'MT-ETUS'!W208</f>
        <v>-</v>
      </c>
      <c r="G263" s="466"/>
      <c r="H263" s="466"/>
      <c r="I263" s="467"/>
      <c r="J263" s="414"/>
      <c r="K263" s="413" t="s">
        <v>1709</v>
      </c>
      <c r="L263" s="414">
        <v>5</v>
      </c>
      <c r="M263" s="414"/>
      <c r="N263" s="414"/>
      <c r="O263" s="386">
        <f t="shared" si="5"/>
        <v>1</v>
      </c>
      <c r="P263" s="414">
        <v>0</v>
      </c>
      <c r="Q263" s="414">
        <v>0</v>
      </c>
      <c r="R263" s="414">
        <v>0</v>
      </c>
      <c r="S263" s="414">
        <v>1</v>
      </c>
      <c r="T263" s="414">
        <v>1</v>
      </c>
      <c r="U263" s="414"/>
      <c r="V263" s="414">
        <v>0</v>
      </c>
      <c r="W263" s="414">
        <v>0</v>
      </c>
      <c r="X263" s="414">
        <v>0</v>
      </c>
      <c r="Y263" s="414">
        <v>0</v>
      </c>
      <c r="Z263" s="414"/>
    </row>
    <row r="264" spans="2:26" s="413" customFormat="1" ht="11.25" customHeight="1" x14ac:dyDescent="0.25">
      <c r="B264" s="431">
        <v>261</v>
      </c>
      <c r="C264" s="437" t="s">
        <v>1295</v>
      </c>
      <c r="D264" s="438" t="s">
        <v>1296</v>
      </c>
      <c r="E264" s="431" t="s">
        <v>1297</v>
      </c>
      <c r="F264" s="448" t="str">
        <f>'MT-ETUS'!M232&amp;" "&amp;'MT-ETUS'!N232&amp;" y "&amp;'MT-ETUS'!P232&amp;" "&amp;'MT-ETUS'!Q232&amp;" y "&amp;'MT-ETUS'!S232&amp;" "&amp;'MT-ETUS'!T232&amp;" y "&amp;'MT-ETUS'!V232&amp;" "&amp;'MT-ETUS'!W232</f>
        <v>- V. corte y - Purgas y - Puente man y - Termómetro</v>
      </c>
      <c r="G264" s="466"/>
      <c r="H264" s="466"/>
      <c r="I264" s="467"/>
      <c r="J264" s="414"/>
      <c r="L264" s="414">
        <v>4</v>
      </c>
      <c r="M264" s="414"/>
      <c r="N264" s="414">
        <v>1</v>
      </c>
      <c r="O264" s="386">
        <f t="shared" si="5"/>
        <v>1</v>
      </c>
      <c r="P264" s="414">
        <v>0</v>
      </c>
      <c r="Q264" s="414">
        <v>0</v>
      </c>
      <c r="R264" s="414">
        <v>1</v>
      </c>
      <c r="S264" s="414">
        <v>1</v>
      </c>
      <c r="T264" s="414">
        <v>1</v>
      </c>
      <c r="U264" s="414"/>
      <c r="V264" s="414">
        <v>0</v>
      </c>
      <c r="W264" s="414">
        <v>0</v>
      </c>
      <c r="X264" s="414">
        <v>0</v>
      </c>
      <c r="Y264" s="414">
        <v>0</v>
      </c>
      <c r="Z264" s="414"/>
    </row>
    <row r="265" spans="2:26" s="413" customFormat="1" ht="11.25" customHeight="1" x14ac:dyDescent="0.25">
      <c r="B265" s="431">
        <v>262</v>
      </c>
      <c r="C265" s="437" t="s">
        <v>1298</v>
      </c>
      <c r="D265" s="438" t="s">
        <v>227</v>
      </c>
      <c r="E265" s="431" t="s">
        <v>1299</v>
      </c>
      <c r="F265" s="465" t="str">
        <f>ROUND('MT-ETUS'!M209,0)&amp;" y "&amp;'MT-ETUS'!Q209</f>
        <v xml:space="preserve">0 y </v>
      </c>
      <c r="G265" s="466"/>
      <c r="H265" s="466"/>
      <c r="I265" s="467"/>
      <c r="J265" s="414"/>
      <c r="L265" s="414">
        <v>4</v>
      </c>
      <c r="M265" s="414"/>
      <c r="N265" s="414"/>
      <c r="O265" s="386">
        <f t="shared" si="5"/>
        <v>1</v>
      </c>
      <c r="P265" s="414">
        <v>0</v>
      </c>
      <c r="Q265" s="414">
        <v>0</v>
      </c>
      <c r="R265" s="414">
        <v>1</v>
      </c>
      <c r="S265" s="414">
        <v>1</v>
      </c>
      <c r="T265" s="414">
        <v>1</v>
      </c>
      <c r="U265" s="414"/>
      <c r="V265" s="414">
        <v>0</v>
      </c>
      <c r="W265" s="414">
        <v>0</v>
      </c>
      <c r="X265" s="414">
        <v>0</v>
      </c>
      <c r="Y265" s="414">
        <v>0</v>
      </c>
      <c r="Z265" s="414"/>
    </row>
    <row r="266" spans="2:26" s="413" customFormat="1" ht="11.25" customHeight="1" x14ac:dyDescent="0.25">
      <c r="B266" s="431">
        <v>263</v>
      </c>
      <c r="C266" s="437" t="s">
        <v>1300</v>
      </c>
      <c r="D266" s="438" t="s">
        <v>342</v>
      </c>
      <c r="E266" s="431" t="s">
        <v>1301</v>
      </c>
      <c r="F266" s="465" t="str">
        <f>ROUND('MT-ETUS'!M213,0)&amp;" y "&amp;'MT-ETUS'!Q213&amp;" ¿Cumple "&amp;'MT-ETUS'!S213&amp;" "&amp;'MT-ETUS'!U213&amp;" y "&amp;'MT-ETUS'!W213</f>
        <v>0 y  ¿Cumple = sec ? Si y Si</v>
      </c>
      <c r="G266" s="466"/>
      <c r="H266" s="466"/>
      <c r="I266" s="467"/>
      <c r="J266" s="414"/>
      <c r="L266" s="414">
        <v>4</v>
      </c>
      <c r="M266" s="414"/>
      <c r="N266" s="414"/>
      <c r="O266" s="386">
        <f t="shared" si="5"/>
        <v>1</v>
      </c>
      <c r="P266" s="414">
        <v>0</v>
      </c>
      <c r="Q266" s="414">
        <v>0</v>
      </c>
      <c r="R266" s="414">
        <v>1</v>
      </c>
      <c r="S266" s="414">
        <v>1</v>
      </c>
      <c r="T266" s="414">
        <v>1</v>
      </c>
      <c r="U266" s="414"/>
      <c r="V266" s="414">
        <v>0</v>
      </c>
      <c r="W266" s="414">
        <v>0</v>
      </c>
      <c r="X266" s="414">
        <v>0</v>
      </c>
      <c r="Y266" s="414">
        <v>0</v>
      </c>
      <c r="Z266" s="414"/>
    </row>
    <row r="267" spans="2:26" s="413" customFormat="1" ht="11.25" customHeight="1" x14ac:dyDescent="0.25">
      <c r="B267" s="431">
        <v>264</v>
      </c>
      <c r="C267" s="437" t="s">
        <v>1300</v>
      </c>
      <c r="D267" s="438" t="s">
        <v>476</v>
      </c>
      <c r="E267" s="431" t="s">
        <v>1302</v>
      </c>
      <c r="F267" s="465" t="e">
        <f>ROUND('MT-ETUS'!M214,0)&amp;" y "&amp;'MT-ETUS'!Q214&amp;" ¿Cumple "&amp;'MT-ETUS'!S214&amp;" "&amp;'MT-ETUS'!U214&amp;" y "&amp;'MT-ETUS'!W214</f>
        <v>#DIV/0!</v>
      </c>
      <c r="G267" s="466"/>
      <c r="H267" s="466"/>
      <c r="I267" s="467"/>
      <c r="J267" s="414"/>
      <c r="L267" s="414">
        <v>4</v>
      </c>
      <c r="M267" s="414"/>
      <c r="N267" s="414"/>
      <c r="O267" s="386">
        <f t="shared" si="5"/>
        <v>1</v>
      </c>
      <c r="P267" s="414">
        <v>0</v>
      </c>
      <c r="Q267" s="414">
        <v>0</v>
      </c>
      <c r="R267" s="414">
        <v>1</v>
      </c>
      <c r="S267" s="414">
        <v>1</v>
      </c>
      <c r="T267" s="414">
        <v>1</v>
      </c>
      <c r="U267" s="414"/>
      <c r="V267" s="414">
        <v>0</v>
      </c>
      <c r="W267" s="414">
        <v>0</v>
      </c>
      <c r="X267" s="414">
        <v>0</v>
      </c>
      <c r="Y267" s="414">
        <v>0</v>
      </c>
      <c r="Z267" s="414"/>
    </row>
    <row r="268" spans="2:26" s="413" customFormat="1" ht="11.25" customHeight="1" x14ac:dyDescent="0.25">
      <c r="B268" s="431">
        <v>265</v>
      </c>
      <c r="C268" s="437" t="s">
        <v>1303</v>
      </c>
      <c r="D268" s="438" t="s">
        <v>163</v>
      </c>
      <c r="E268" s="431" t="s">
        <v>1304</v>
      </c>
      <c r="F268" s="465" t="e">
        <f>ROUND('MT-ETUS'!M230,2)&amp;" y "&amp;'MT-ETUS'!Q230&amp;" ¿Cumple "&amp;'MT-ETUS'!S230&amp;" "&amp;'MT-ETUS'!U230&amp;" y "&amp;'MT-ETUS'!W230</f>
        <v>#DIV/0!</v>
      </c>
      <c r="G268" s="466"/>
      <c r="H268" s="466"/>
      <c r="I268" s="467"/>
      <c r="J268" s="414"/>
      <c r="L268" s="414">
        <v>5</v>
      </c>
      <c r="M268" s="414"/>
      <c r="N268" s="414"/>
      <c r="O268" s="386">
        <f t="shared" si="5"/>
        <v>1</v>
      </c>
      <c r="P268" s="414">
        <v>0</v>
      </c>
      <c r="Q268" s="414">
        <v>0</v>
      </c>
      <c r="R268" s="414">
        <v>1</v>
      </c>
      <c r="S268" s="414">
        <v>1</v>
      </c>
      <c r="T268" s="414">
        <v>1</v>
      </c>
      <c r="U268" s="414"/>
      <c r="V268" s="414">
        <v>0</v>
      </c>
      <c r="W268" s="414">
        <v>0</v>
      </c>
      <c r="X268" s="414">
        <v>0</v>
      </c>
      <c r="Y268" s="414">
        <v>0</v>
      </c>
      <c r="Z268" s="414"/>
    </row>
    <row r="269" spans="2:26" s="413" customFormat="1" ht="11.25" customHeight="1" x14ac:dyDescent="0.25">
      <c r="B269" s="431">
        <v>266</v>
      </c>
      <c r="C269" s="437" t="s">
        <v>1305</v>
      </c>
      <c r="D269" s="438" t="s">
        <v>90</v>
      </c>
      <c r="E269" s="431" t="s">
        <v>1306</v>
      </c>
      <c r="F269" s="465" t="e">
        <f>ROUND('MT-ETUS'!M210,0)&amp;" y "&amp;'MT-ETUS'!Q210&amp;" ¿Cumple "&amp;'MT-ETUS'!S210&amp;" "&amp;'MT-ETUS'!U210&amp;" y "&amp;'MT-ETUS'!W210</f>
        <v>#DIV/0!</v>
      </c>
      <c r="G269" s="466"/>
      <c r="H269" s="466"/>
      <c r="I269" s="467"/>
      <c r="J269" s="414"/>
      <c r="L269" s="414">
        <v>5</v>
      </c>
      <c r="M269" s="414"/>
      <c r="N269" s="414"/>
      <c r="O269" s="386">
        <f t="shared" si="5"/>
        <v>1</v>
      </c>
      <c r="P269" s="414">
        <v>0</v>
      </c>
      <c r="Q269" s="414">
        <v>0</v>
      </c>
      <c r="R269" s="414">
        <v>1</v>
      </c>
      <c r="S269" s="414">
        <v>1</v>
      </c>
      <c r="T269" s="414">
        <v>1</v>
      </c>
      <c r="U269" s="414"/>
      <c r="V269" s="414">
        <v>0</v>
      </c>
      <c r="W269" s="414">
        <v>0</v>
      </c>
      <c r="X269" s="414">
        <v>0</v>
      </c>
      <c r="Y269" s="414">
        <v>0</v>
      </c>
      <c r="Z269" s="414"/>
    </row>
    <row r="270" spans="2:26" s="413" customFormat="1" ht="11.25" customHeight="1" x14ac:dyDescent="0.25">
      <c r="B270" s="431">
        <v>267</v>
      </c>
      <c r="C270" s="437" t="s">
        <v>1307</v>
      </c>
      <c r="D270" s="438" t="s">
        <v>1710</v>
      </c>
      <c r="E270" s="431" t="s">
        <v>1308</v>
      </c>
      <c r="F270" s="465" t="str">
        <f>ROUND('MT-ETUS'!M216,0)&amp;" y "&amp;'MT-ETUS'!Q216&amp;" ¿Cumple "&amp;'MT-ETUS'!S216&amp;" "&amp;'MT-ETUS'!U216&amp;" y "&amp;'MT-ETUS'!W216</f>
        <v>0 y  ¿Cumple  = 50 ? No y No</v>
      </c>
      <c r="G270" s="466"/>
      <c r="H270" s="466"/>
      <c r="I270" s="467"/>
      <c r="J270" s="414"/>
      <c r="L270" s="414">
        <v>5</v>
      </c>
      <c r="M270" s="414"/>
      <c r="N270" s="414"/>
      <c r="O270" s="386">
        <f t="shared" si="5"/>
        <v>1</v>
      </c>
      <c r="P270" s="414">
        <v>0</v>
      </c>
      <c r="Q270" s="414">
        <v>0</v>
      </c>
      <c r="R270" s="414">
        <v>1</v>
      </c>
      <c r="S270" s="414">
        <v>1</v>
      </c>
      <c r="T270" s="414">
        <v>1</v>
      </c>
      <c r="U270" s="414"/>
      <c r="V270" s="414">
        <v>0</v>
      </c>
      <c r="W270" s="414">
        <v>0</v>
      </c>
      <c r="X270" s="414">
        <v>0</v>
      </c>
      <c r="Y270" s="414">
        <v>0</v>
      </c>
      <c r="Z270" s="414"/>
    </row>
    <row r="271" spans="2:26" s="413" customFormat="1" ht="11.25" customHeight="1" x14ac:dyDescent="0.25">
      <c r="B271" s="431">
        <v>268</v>
      </c>
      <c r="C271" s="437" t="s">
        <v>1307</v>
      </c>
      <c r="D271" s="438" t="s">
        <v>1711</v>
      </c>
      <c r="E271" s="431" t="s">
        <v>1309</v>
      </c>
      <c r="F271" s="465" t="str">
        <f>ROUND('MT-ETUS'!M227,0)&amp;" y "&amp;'MT-ETUS'!Q227&amp;" ¿Cumple "&amp;'MT-ETUS'!S227&amp;" "&amp;'MT-ETUS'!U227&amp;" y "&amp;'MT-ETUS'!W227</f>
        <v>0 y  ¿Cumple ≥ 45 ? No y No</v>
      </c>
      <c r="G271" s="466"/>
      <c r="H271" s="466"/>
      <c r="I271" s="467"/>
      <c r="J271" s="414"/>
      <c r="L271" s="414">
        <v>5</v>
      </c>
      <c r="M271" s="414"/>
      <c r="N271" s="414"/>
      <c r="O271" s="386">
        <f t="shared" si="5"/>
        <v>1</v>
      </c>
      <c r="P271" s="414">
        <v>0</v>
      </c>
      <c r="Q271" s="414">
        <v>0</v>
      </c>
      <c r="R271" s="414">
        <v>1</v>
      </c>
      <c r="S271" s="414">
        <v>1</v>
      </c>
      <c r="T271" s="414">
        <v>1</v>
      </c>
      <c r="U271" s="414"/>
      <c r="V271" s="414">
        <v>0</v>
      </c>
      <c r="W271" s="414">
        <v>0</v>
      </c>
      <c r="X271" s="414">
        <v>0</v>
      </c>
      <c r="Y271" s="414">
        <v>0</v>
      </c>
      <c r="Z271" s="414"/>
    </row>
    <row r="272" spans="2:26" s="413" customFormat="1" ht="11.25" customHeight="1" x14ac:dyDescent="0.25">
      <c r="B272" s="431">
        <v>269</v>
      </c>
      <c r="C272" s="437" t="s">
        <v>1310</v>
      </c>
      <c r="D272" s="438" t="s">
        <v>379</v>
      </c>
      <c r="E272" s="431" t="s">
        <v>1311</v>
      </c>
      <c r="F272" s="465" t="str">
        <f>ROUND('MT-ETUS'!M221,0)&amp;" y "&amp;'MT-ETUS'!Q221&amp;" ¿Cumple "&amp;'MT-ETUS'!S221&amp;" "&amp;'MT-ETUS'!U221&amp;" y "&amp;'MT-ETUS'!W221</f>
        <v>0 y  ¿Cumple ≤ 20 ? Si y Si</v>
      </c>
      <c r="G272" s="466"/>
      <c r="H272" s="466"/>
      <c r="I272" s="467"/>
      <c r="J272" s="414"/>
      <c r="L272" s="414">
        <v>5</v>
      </c>
      <c r="M272" s="414"/>
      <c r="N272" s="414"/>
      <c r="O272" s="386">
        <f t="shared" si="5"/>
        <v>1</v>
      </c>
      <c r="P272" s="414">
        <v>0</v>
      </c>
      <c r="Q272" s="414">
        <v>0</v>
      </c>
      <c r="R272" s="414">
        <v>1</v>
      </c>
      <c r="S272" s="414">
        <v>1</v>
      </c>
      <c r="T272" s="414">
        <v>1</v>
      </c>
      <c r="U272" s="414"/>
      <c r="V272" s="414">
        <v>0</v>
      </c>
      <c r="W272" s="414">
        <v>0</v>
      </c>
      <c r="X272" s="414">
        <v>0</v>
      </c>
      <c r="Y272" s="414">
        <v>0</v>
      </c>
      <c r="Z272" s="414"/>
    </row>
    <row r="273" spans="2:26" s="413" customFormat="1" ht="11.25" customHeight="1" x14ac:dyDescent="0.25">
      <c r="B273" s="431">
        <v>270</v>
      </c>
      <c r="C273" s="437" t="s">
        <v>1310</v>
      </c>
      <c r="D273" s="438" t="s">
        <v>380</v>
      </c>
      <c r="E273" s="431" t="s">
        <v>1312</v>
      </c>
      <c r="F273" s="465" t="str">
        <f>ROUND('MT-ETUS'!M229,0)&amp;" y "&amp;'MT-ETUS'!Q229&amp;" ¿Cumple "&amp;'MT-ETUS'!S229&amp;" "&amp;'MT-ETUS'!U229&amp;" y "&amp;'MT-ETUS'!W229</f>
        <v>0 y  ¿Cumple ≤ 20 ? Si y Si</v>
      </c>
      <c r="G273" s="466"/>
      <c r="H273" s="466"/>
      <c r="I273" s="467"/>
      <c r="J273" s="414"/>
      <c r="L273" s="414">
        <v>5</v>
      </c>
      <c r="M273" s="414"/>
      <c r="N273" s="414"/>
      <c r="O273" s="386">
        <f t="shared" si="5"/>
        <v>1</v>
      </c>
      <c r="P273" s="414">
        <v>0</v>
      </c>
      <c r="Q273" s="414">
        <v>0</v>
      </c>
      <c r="R273" s="414">
        <v>1</v>
      </c>
      <c r="S273" s="414">
        <v>1</v>
      </c>
      <c r="T273" s="414">
        <v>1</v>
      </c>
      <c r="U273" s="414"/>
      <c r="V273" s="414">
        <v>0</v>
      </c>
      <c r="W273" s="414">
        <v>0</v>
      </c>
      <c r="X273" s="414">
        <v>0</v>
      </c>
      <c r="Y273" s="414">
        <v>0</v>
      </c>
      <c r="Z273" s="414"/>
    </row>
    <row r="274" spans="2:26" s="413" customFormat="1" ht="11.25" customHeight="1" x14ac:dyDescent="0.25">
      <c r="B274" s="431">
        <v>271</v>
      </c>
      <c r="C274" s="437" t="s">
        <v>1313</v>
      </c>
      <c r="D274" s="438" t="s">
        <v>325</v>
      </c>
      <c r="E274" s="431" t="s">
        <v>1314</v>
      </c>
      <c r="F274" s="456">
        <f>'MT-ETUS'!M200</f>
        <v>0</v>
      </c>
      <c r="G274" s="466"/>
      <c r="H274" s="466"/>
      <c r="I274" s="467"/>
      <c r="J274" s="414"/>
      <c r="K274" s="413" t="s">
        <v>1712</v>
      </c>
      <c r="L274" s="414">
        <v>5</v>
      </c>
      <c r="M274" s="414"/>
      <c r="N274" s="414"/>
      <c r="O274" s="386">
        <f t="shared" si="5"/>
        <v>1</v>
      </c>
      <c r="P274" s="414">
        <v>0</v>
      </c>
      <c r="Q274" s="414">
        <v>0</v>
      </c>
      <c r="R274" s="414">
        <v>1</v>
      </c>
      <c r="S274" s="414">
        <v>1</v>
      </c>
      <c r="T274" s="414">
        <v>1</v>
      </c>
      <c r="U274" s="414"/>
      <c r="V274" s="414">
        <v>0</v>
      </c>
      <c r="W274" s="414">
        <v>0</v>
      </c>
      <c r="X274" s="414">
        <v>0</v>
      </c>
      <c r="Y274" s="414">
        <v>0</v>
      </c>
      <c r="Z274" s="414"/>
    </row>
    <row r="275" spans="2:26" s="413" customFormat="1" ht="11.25" customHeight="1" x14ac:dyDescent="0.25">
      <c r="B275" s="431">
        <v>272</v>
      </c>
      <c r="C275" s="437" t="s">
        <v>1315</v>
      </c>
      <c r="D275" s="438" t="s">
        <v>1316</v>
      </c>
      <c r="E275" s="431" t="s">
        <v>1317</v>
      </c>
      <c r="F275" s="448" t="e">
        <f>'MT-ETUS'!M201&amp;" ¿ Cumple ≥ 0,2 ? "&amp;'MT-ETUS'!R201</f>
        <v>#DIV/0!</v>
      </c>
      <c r="G275" s="466"/>
      <c r="H275" s="466"/>
      <c r="I275" s="467"/>
      <c r="J275" s="414"/>
      <c r="K275" s="413" t="s">
        <v>1712</v>
      </c>
      <c r="L275" s="414">
        <v>5</v>
      </c>
      <c r="M275" s="414"/>
      <c r="N275" s="414"/>
      <c r="O275" s="386">
        <f t="shared" si="5"/>
        <v>1</v>
      </c>
      <c r="P275" s="414">
        <v>0</v>
      </c>
      <c r="Q275" s="414">
        <v>0</v>
      </c>
      <c r="R275" s="414">
        <v>1</v>
      </c>
      <c r="S275" s="414">
        <v>1</v>
      </c>
      <c r="T275" s="414">
        <v>1</v>
      </c>
      <c r="U275" s="414"/>
      <c r="V275" s="414">
        <v>0</v>
      </c>
      <c r="W275" s="414">
        <v>0</v>
      </c>
      <c r="X275" s="414">
        <v>0</v>
      </c>
      <c r="Y275" s="414">
        <v>0</v>
      </c>
      <c r="Z275" s="414"/>
    </row>
    <row r="276" spans="2:26" s="413" customFormat="1" ht="11.25" customHeight="1" x14ac:dyDescent="0.25">
      <c r="B276" s="431">
        <v>273</v>
      </c>
      <c r="C276" s="437" t="s">
        <v>1318</v>
      </c>
      <c r="D276" s="438" t="s">
        <v>1714</v>
      </c>
      <c r="E276" s="431" t="s">
        <v>1727</v>
      </c>
      <c r="F276" s="511" t="s">
        <v>1728</v>
      </c>
      <c r="G276" s="439"/>
      <c r="H276" s="439"/>
      <c r="I276" s="440"/>
      <c r="J276" s="414"/>
      <c r="K276" s="413" t="s">
        <v>1715</v>
      </c>
      <c r="L276" s="414">
        <v>2</v>
      </c>
      <c r="M276" s="414"/>
      <c r="N276" s="414"/>
      <c r="O276" s="386">
        <f t="shared" si="5"/>
        <v>1</v>
      </c>
      <c r="P276" s="414">
        <v>0</v>
      </c>
      <c r="Q276" s="414">
        <v>0</v>
      </c>
      <c r="R276" s="414">
        <v>1</v>
      </c>
      <c r="S276" s="414">
        <v>1</v>
      </c>
      <c r="T276" s="414">
        <v>1</v>
      </c>
      <c r="U276" s="414"/>
      <c r="V276" s="414">
        <v>0</v>
      </c>
      <c r="W276" s="414">
        <v>0</v>
      </c>
      <c r="X276" s="414">
        <v>0</v>
      </c>
      <c r="Y276" s="414">
        <v>0</v>
      </c>
      <c r="Z276" s="414"/>
    </row>
    <row r="277" spans="2:26" s="413" customFormat="1" ht="11.25" customHeight="1" x14ac:dyDescent="0.25">
      <c r="B277" s="431">
        <v>274</v>
      </c>
      <c r="C277" s="437" t="s">
        <v>1319</v>
      </c>
      <c r="D277" s="437" t="s">
        <v>1320</v>
      </c>
      <c r="E277" s="431" t="s">
        <v>1727</v>
      </c>
      <c r="F277" s="511" t="s">
        <v>1728</v>
      </c>
      <c r="G277" s="439"/>
      <c r="H277" s="439"/>
      <c r="I277" s="440"/>
      <c r="J277" s="414"/>
      <c r="L277" s="414">
        <v>2</v>
      </c>
      <c r="M277" s="414"/>
      <c r="N277" s="414">
        <v>1</v>
      </c>
      <c r="O277" s="386">
        <f t="shared" si="5"/>
        <v>1</v>
      </c>
      <c r="P277" s="414">
        <v>1</v>
      </c>
      <c r="Q277" s="414">
        <v>1</v>
      </c>
      <c r="R277" s="414">
        <v>1</v>
      </c>
      <c r="S277" s="414">
        <v>1</v>
      </c>
      <c r="T277" s="414">
        <v>1</v>
      </c>
      <c r="U277" s="414"/>
      <c r="V277" s="414">
        <v>0</v>
      </c>
      <c r="W277" s="414">
        <v>0</v>
      </c>
      <c r="X277" s="414">
        <v>0</v>
      </c>
      <c r="Y277" s="414">
        <v>0</v>
      </c>
      <c r="Z277" s="414"/>
    </row>
    <row r="278" spans="2:26" s="413" customFormat="1" ht="11.25" customHeight="1" x14ac:dyDescent="0.25">
      <c r="B278" s="431">
        <v>275</v>
      </c>
      <c r="C278" s="437" t="s">
        <v>1319</v>
      </c>
      <c r="D278" s="437" t="s">
        <v>1321</v>
      </c>
      <c r="E278" s="431" t="s">
        <v>1727</v>
      </c>
      <c r="F278" s="511" t="s">
        <v>1728</v>
      </c>
      <c r="G278" s="439"/>
      <c r="H278" s="439"/>
      <c r="I278" s="440"/>
      <c r="J278" s="414"/>
      <c r="L278" s="414">
        <v>2</v>
      </c>
      <c r="M278" s="414"/>
      <c r="N278" s="414">
        <v>1</v>
      </c>
      <c r="O278" s="386">
        <f t="shared" si="5"/>
        <v>1</v>
      </c>
      <c r="P278" s="414">
        <v>1</v>
      </c>
      <c r="Q278" s="414">
        <v>1</v>
      </c>
      <c r="R278" s="414">
        <v>1</v>
      </c>
      <c r="S278" s="414">
        <v>1</v>
      </c>
      <c r="T278" s="414">
        <v>1</v>
      </c>
      <c r="U278" s="414"/>
      <c r="V278" s="414">
        <v>0</v>
      </c>
      <c r="W278" s="414">
        <v>0</v>
      </c>
      <c r="X278" s="414">
        <v>0</v>
      </c>
      <c r="Y278" s="414">
        <v>0</v>
      </c>
      <c r="Z278" s="414"/>
    </row>
    <row r="279" spans="2:26" s="413" customFormat="1" ht="11.25" customHeight="1" x14ac:dyDescent="0.25">
      <c r="B279" s="431">
        <v>276</v>
      </c>
      <c r="C279" s="437" t="s">
        <v>1319</v>
      </c>
      <c r="D279" s="437" t="s">
        <v>1322</v>
      </c>
      <c r="E279" s="431" t="s">
        <v>1727</v>
      </c>
      <c r="F279" s="511" t="s">
        <v>1728</v>
      </c>
      <c r="G279" s="439"/>
      <c r="H279" s="439"/>
      <c r="I279" s="440"/>
      <c r="J279" s="414"/>
      <c r="L279" s="414">
        <v>2</v>
      </c>
      <c r="M279" s="414"/>
      <c r="N279" s="414">
        <v>1</v>
      </c>
      <c r="O279" s="386">
        <f t="shared" si="5"/>
        <v>1</v>
      </c>
      <c r="P279" s="414">
        <v>0</v>
      </c>
      <c r="Q279" s="414">
        <v>0</v>
      </c>
      <c r="R279" s="414">
        <v>1</v>
      </c>
      <c r="S279" s="414">
        <v>1</v>
      </c>
      <c r="T279" s="414">
        <v>1</v>
      </c>
      <c r="U279" s="414"/>
      <c r="V279" s="414">
        <v>0</v>
      </c>
      <c r="W279" s="414">
        <v>0</v>
      </c>
      <c r="X279" s="414">
        <v>0</v>
      </c>
      <c r="Y279" s="414">
        <v>0</v>
      </c>
      <c r="Z279" s="414"/>
    </row>
    <row r="280" spans="2:26" s="413" customFormat="1" ht="11.25" customHeight="1" x14ac:dyDescent="0.25">
      <c r="B280" s="431">
        <v>277</v>
      </c>
      <c r="C280" s="437" t="s">
        <v>1324</v>
      </c>
      <c r="D280" s="437" t="s">
        <v>1323</v>
      </c>
      <c r="E280" s="431" t="s">
        <v>1727</v>
      </c>
      <c r="F280" s="511" t="s">
        <v>1728</v>
      </c>
      <c r="G280" s="439"/>
      <c r="H280" s="439"/>
      <c r="I280" s="440"/>
      <c r="J280" s="414"/>
      <c r="L280" s="414">
        <v>2</v>
      </c>
      <c r="M280" s="414"/>
      <c r="N280" s="414"/>
      <c r="O280" s="386">
        <f t="shared" si="5"/>
        <v>1</v>
      </c>
      <c r="P280" s="414">
        <v>0</v>
      </c>
      <c r="Q280" s="414">
        <v>0</v>
      </c>
      <c r="R280" s="414">
        <v>1</v>
      </c>
      <c r="S280" s="414">
        <v>1</v>
      </c>
      <c r="T280" s="414">
        <v>1</v>
      </c>
      <c r="U280" s="414"/>
      <c r="V280" s="414">
        <v>0</v>
      </c>
      <c r="W280" s="414">
        <v>0</v>
      </c>
      <c r="X280" s="414">
        <v>0</v>
      </c>
      <c r="Y280" s="414">
        <v>0</v>
      </c>
      <c r="Z280" s="414"/>
    </row>
    <row r="281" spans="2:26" s="413" customFormat="1" ht="11.25" customHeight="1" x14ac:dyDescent="0.25">
      <c r="B281" s="431">
        <v>278</v>
      </c>
      <c r="C281" s="437" t="s">
        <v>1324</v>
      </c>
      <c r="D281" s="438" t="s">
        <v>1325</v>
      </c>
      <c r="E281" s="431" t="s">
        <v>1727</v>
      </c>
      <c r="F281" s="511" t="s">
        <v>1728</v>
      </c>
      <c r="G281" s="439"/>
      <c r="H281" s="439"/>
      <c r="I281" s="440"/>
      <c r="J281" s="414"/>
      <c r="K281" s="413" t="s">
        <v>1713</v>
      </c>
      <c r="L281" s="414">
        <v>2</v>
      </c>
      <c r="M281" s="414"/>
      <c r="N281" s="414"/>
      <c r="O281" s="386">
        <f t="shared" si="5"/>
        <v>1</v>
      </c>
      <c r="P281" s="414">
        <v>0</v>
      </c>
      <c r="Q281" s="414">
        <v>1</v>
      </c>
      <c r="R281" s="414">
        <v>1</v>
      </c>
      <c r="S281" s="414">
        <v>1</v>
      </c>
      <c r="T281" s="414">
        <v>1</v>
      </c>
      <c r="U281" s="414"/>
      <c r="V281" s="414">
        <v>0</v>
      </c>
      <c r="W281" s="414">
        <v>0</v>
      </c>
      <c r="X281" s="414">
        <v>0</v>
      </c>
      <c r="Y281" s="414">
        <v>0</v>
      </c>
      <c r="Z281" s="414"/>
    </row>
    <row r="282" spans="2:26" s="413" customFormat="1" ht="11.25" customHeight="1" x14ac:dyDescent="0.25">
      <c r="B282" s="431">
        <v>279</v>
      </c>
      <c r="C282" s="437" t="s">
        <v>1326</v>
      </c>
      <c r="D282" s="438" t="s">
        <v>1716</v>
      </c>
      <c r="E282" s="431" t="s">
        <v>1727</v>
      </c>
      <c r="F282" s="511" t="s">
        <v>1844</v>
      </c>
      <c r="G282" s="439"/>
      <c r="H282" s="439"/>
      <c r="I282" s="440"/>
      <c r="J282" s="414"/>
      <c r="K282" s="413" t="s">
        <v>1717</v>
      </c>
      <c r="L282" s="414">
        <v>5</v>
      </c>
      <c r="M282" s="414"/>
      <c r="N282" s="414"/>
      <c r="O282" s="386">
        <f t="shared" si="5"/>
        <v>1</v>
      </c>
      <c r="P282" s="414">
        <v>0</v>
      </c>
      <c r="Q282" s="414">
        <v>0</v>
      </c>
      <c r="R282" s="414">
        <v>1</v>
      </c>
      <c r="S282" s="414">
        <v>1</v>
      </c>
      <c r="T282" s="414">
        <v>1</v>
      </c>
      <c r="U282" s="414"/>
      <c r="V282" s="414">
        <v>0</v>
      </c>
      <c r="W282" s="414">
        <v>0</v>
      </c>
      <c r="X282" s="414">
        <v>0</v>
      </c>
      <c r="Y282" s="414">
        <v>0</v>
      </c>
      <c r="Z282" s="414"/>
    </row>
    <row r="283" spans="2:26" s="413" customFormat="1" ht="11.25" customHeight="1" x14ac:dyDescent="0.25">
      <c r="B283" s="431">
        <v>280</v>
      </c>
      <c r="C283" s="437" t="s">
        <v>1328</v>
      </c>
      <c r="D283" s="438" t="s">
        <v>1329</v>
      </c>
      <c r="E283" s="431" t="s">
        <v>1330</v>
      </c>
      <c r="F283" s="448">
        <f>'MT-ETUS'!M239</f>
        <v>0</v>
      </c>
      <c r="G283" s="439"/>
      <c r="H283" s="439"/>
      <c r="I283" s="440"/>
      <c r="J283" s="414"/>
      <c r="L283" s="414">
        <v>4</v>
      </c>
      <c r="M283" s="414"/>
      <c r="N283" s="414"/>
      <c r="O283" s="386">
        <f t="shared" si="5"/>
        <v>1</v>
      </c>
      <c r="P283" s="414">
        <v>0</v>
      </c>
      <c r="Q283" s="414">
        <v>0</v>
      </c>
      <c r="R283" s="414">
        <v>1</v>
      </c>
      <c r="S283" s="414">
        <v>1</v>
      </c>
      <c r="T283" s="414">
        <v>1</v>
      </c>
      <c r="U283" s="414"/>
      <c r="V283" s="414">
        <v>0</v>
      </c>
      <c r="W283" s="414">
        <v>0</v>
      </c>
      <c r="X283" s="414">
        <v>0</v>
      </c>
      <c r="Y283" s="414">
        <v>0</v>
      </c>
      <c r="Z283" s="414"/>
    </row>
    <row r="284" spans="2:26" s="413" customFormat="1" ht="11.25" customHeight="1" x14ac:dyDescent="0.25">
      <c r="B284" s="431">
        <v>281</v>
      </c>
      <c r="C284" s="437" t="s">
        <v>1328</v>
      </c>
      <c r="D284" s="438" t="s">
        <v>1331</v>
      </c>
      <c r="E284" s="431" t="s">
        <v>1332</v>
      </c>
      <c r="F284" s="448">
        <f>'MT-ETUS'!M240</f>
        <v>0</v>
      </c>
      <c r="G284" s="439"/>
      <c r="H284" s="439"/>
      <c r="I284" s="440"/>
      <c r="J284" s="414"/>
      <c r="L284" s="414">
        <v>4</v>
      </c>
      <c r="M284" s="414"/>
      <c r="N284" s="414"/>
      <c r="O284" s="386">
        <f t="shared" si="5"/>
        <v>1</v>
      </c>
      <c r="P284" s="414">
        <v>0</v>
      </c>
      <c r="Q284" s="414">
        <v>0</v>
      </c>
      <c r="R284" s="414">
        <v>1</v>
      </c>
      <c r="S284" s="414">
        <v>1</v>
      </c>
      <c r="T284" s="414">
        <v>1</v>
      </c>
      <c r="U284" s="414"/>
      <c r="V284" s="414">
        <v>0</v>
      </c>
      <c r="W284" s="414">
        <v>0</v>
      </c>
      <c r="X284" s="414">
        <v>0</v>
      </c>
      <c r="Y284" s="414">
        <v>0</v>
      </c>
      <c r="Z284" s="414"/>
    </row>
    <row r="285" spans="2:26" s="413" customFormat="1" ht="11.25" customHeight="1" x14ac:dyDescent="0.25">
      <c r="B285" s="431">
        <v>282</v>
      </c>
      <c r="C285" s="437" t="s">
        <v>1333</v>
      </c>
      <c r="D285" s="438" t="s">
        <v>1334</v>
      </c>
      <c r="E285" s="431" t="s">
        <v>1335</v>
      </c>
      <c r="F285" s="448" t="str">
        <f>'MT-ETUS'!M238&amp;" y "&amp;'MT-ETUS'!P238</f>
        <v xml:space="preserve">- y </v>
      </c>
      <c r="G285" s="439"/>
      <c r="H285" s="439"/>
      <c r="I285" s="440"/>
      <c r="J285" s="414"/>
      <c r="L285" s="414">
        <v>4</v>
      </c>
      <c r="M285" s="414"/>
      <c r="N285" s="414"/>
      <c r="O285" s="386">
        <f t="shared" si="5"/>
        <v>1</v>
      </c>
      <c r="P285" s="414">
        <v>0</v>
      </c>
      <c r="Q285" s="414">
        <v>0</v>
      </c>
      <c r="R285" s="414">
        <v>1</v>
      </c>
      <c r="S285" s="414">
        <v>1</v>
      </c>
      <c r="T285" s="414">
        <v>1</v>
      </c>
      <c r="U285" s="414"/>
      <c r="V285" s="414">
        <v>0</v>
      </c>
      <c r="W285" s="414">
        <v>0</v>
      </c>
      <c r="X285" s="414">
        <v>0</v>
      </c>
      <c r="Y285" s="414">
        <v>0</v>
      </c>
      <c r="Z285" s="414"/>
    </row>
    <row r="286" spans="2:26" s="413" customFormat="1" ht="11.25" customHeight="1" x14ac:dyDescent="0.25">
      <c r="B286" s="431">
        <v>283</v>
      </c>
      <c r="C286" s="437" t="s">
        <v>1336</v>
      </c>
      <c r="D286" s="438" t="s">
        <v>1337</v>
      </c>
      <c r="E286" s="431" t="s">
        <v>1338</v>
      </c>
      <c r="F286" s="448">
        <f>'MT-ETUS'!M236</f>
        <v>0</v>
      </c>
      <c r="G286" s="439"/>
      <c r="H286" s="439"/>
      <c r="I286" s="440"/>
      <c r="J286" s="414"/>
      <c r="L286" s="414">
        <v>5</v>
      </c>
      <c r="M286" s="414"/>
      <c r="N286" s="414">
        <v>1</v>
      </c>
      <c r="O286" s="386">
        <f t="shared" si="5"/>
        <v>1</v>
      </c>
      <c r="P286" s="414">
        <v>0</v>
      </c>
      <c r="Q286" s="414">
        <v>1</v>
      </c>
      <c r="R286" s="414">
        <v>1</v>
      </c>
      <c r="S286" s="414">
        <v>1</v>
      </c>
      <c r="T286" s="414">
        <v>1</v>
      </c>
      <c r="U286" s="414"/>
      <c r="V286" s="414">
        <v>0</v>
      </c>
      <c r="W286" s="414">
        <v>0</v>
      </c>
      <c r="X286" s="414">
        <v>0</v>
      </c>
      <c r="Y286" s="414">
        <v>0</v>
      </c>
      <c r="Z286" s="414"/>
    </row>
    <row r="287" spans="2:26" s="413" customFormat="1" ht="11.25" customHeight="1" x14ac:dyDescent="0.25">
      <c r="B287" s="431">
        <v>284</v>
      </c>
      <c r="C287" s="437" t="s">
        <v>1336</v>
      </c>
      <c r="D287" s="438" t="s">
        <v>1339</v>
      </c>
      <c r="E287" s="431" t="s">
        <v>1340</v>
      </c>
      <c r="F287" s="448">
        <f>'MT-ETUS'!M237</f>
        <v>0</v>
      </c>
      <c r="G287" s="439"/>
      <c r="H287" s="439"/>
      <c r="I287" s="440"/>
      <c r="J287" s="414"/>
      <c r="L287" s="414">
        <v>5</v>
      </c>
      <c r="M287" s="414"/>
      <c r="N287" s="414">
        <v>1</v>
      </c>
      <c r="O287" s="386">
        <f t="shared" si="5"/>
        <v>1</v>
      </c>
      <c r="P287" s="414">
        <v>0</v>
      </c>
      <c r="Q287" s="414">
        <v>1</v>
      </c>
      <c r="R287" s="414">
        <v>1</v>
      </c>
      <c r="S287" s="414">
        <v>1</v>
      </c>
      <c r="T287" s="414">
        <v>1</v>
      </c>
      <c r="U287" s="414"/>
      <c r="V287" s="414">
        <v>0</v>
      </c>
      <c r="W287" s="414">
        <v>0</v>
      </c>
      <c r="X287" s="414">
        <v>0</v>
      </c>
      <c r="Y287" s="414">
        <v>0</v>
      </c>
      <c r="Z287" s="414"/>
    </row>
    <row r="288" spans="2:26" s="413" customFormat="1" ht="11.25" customHeight="1" x14ac:dyDescent="0.25">
      <c r="B288" s="431">
        <v>285</v>
      </c>
      <c r="C288" s="437" t="s">
        <v>1328</v>
      </c>
      <c r="D288" s="438" t="s">
        <v>1341</v>
      </c>
      <c r="E288" s="431" t="s">
        <v>1342</v>
      </c>
      <c r="F288" s="448">
        <f>'MT-ETUS'!R239</f>
        <v>0</v>
      </c>
      <c r="G288" s="439"/>
      <c r="H288" s="439"/>
      <c r="I288" s="440"/>
      <c r="J288" s="414"/>
      <c r="L288" s="414">
        <v>4</v>
      </c>
      <c r="M288" s="414"/>
      <c r="N288" s="414"/>
      <c r="O288" s="386">
        <f t="shared" si="5"/>
        <v>1</v>
      </c>
      <c r="P288" s="414">
        <v>0</v>
      </c>
      <c r="Q288" s="414">
        <v>0</v>
      </c>
      <c r="R288" s="414">
        <v>1</v>
      </c>
      <c r="S288" s="414">
        <v>1</v>
      </c>
      <c r="T288" s="414">
        <v>1</v>
      </c>
      <c r="U288" s="414"/>
      <c r="V288" s="414">
        <v>0</v>
      </c>
      <c r="W288" s="414">
        <v>0</v>
      </c>
      <c r="X288" s="414">
        <v>0</v>
      </c>
      <c r="Y288" s="414">
        <v>0</v>
      </c>
      <c r="Z288" s="414"/>
    </row>
    <row r="289" spans="2:26" s="413" customFormat="1" ht="11.25" customHeight="1" x14ac:dyDescent="0.25">
      <c r="B289" s="431">
        <v>286</v>
      </c>
      <c r="C289" s="437" t="s">
        <v>1328</v>
      </c>
      <c r="D289" s="438" t="s">
        <v>1343</v>
      </c>
      <c r="E289" s="431" t="s">
        <v>1344</v>
      </c>
      <c r="F289" s="448">
        <f>'MT-ETUS'!R240</f>
        <v>0</v>
      </c>
      <c r="G289" s="439"/>
      <c r="H289" s="439"/>
      <c r="I289" s="440"/>
      <c r="J289" s="414"/>
      <c r="L289" s="414">
        <v>4</v>
      </c>
      <c r="M289" s="414"/>
      <c r="N289" s="414"/>
      <c r="O289" s="386">
        <f t="shared" si="5"/>
        <v>1</v>
      </c>
      <c r="P289" s="414">
        <v>0</v>
      </c>
      <c r="Q289" s="414">
        <v>0</v>
      </c>
      <c r="R289" s="414">
        <v>1</v>
      </c>
      <c r="S289" s="414">
        <v>1</v>
      </c>
      <c r="T289" s="414">
        <v>1</v>
      </c>
      <c r="U289" s="414"/>
      <c r="V289" s="414">
        <v>0</v>
      </c>
      <c r="W289" s="414">
        <v>0</v>
      </c>
      <c r="X289" s="414">
        <v>0</v>
      </c>
      <c r="Y289" s="414">
        <v>0</v>
      </c>
      <c r="Z289" s="414"/>
    </row>
    <row r="290" spans="2:26" s="413" customFormat="1" ht="11.25" customHeight="1" x14ac:dyDescent="0.25">
      <c r="B290" s="431">
        <v>287</v>
      </c>
      <c r="C290" s="437" t="s">
        <v>1333</v>
      </c>
      <c r="D290" s="438" t="s">
        <v>1345</v>
      </c>
      <c r="E290" s="431" t="s">
        <v>1346</v>
      </c>
      <c r="F290" s="468" t="str">
        <f>'MT-ETUS'!R238&amp;" y "&amp;'MT-ETUS'!U238</f>
        <v xml:space="preserve">- y </v>
      </c>
      <c r="G290" s="439"/>
      <c r="H290" s="439"/>
      <c r="I290" s="440"/>
      <c r="J290" s="414"/>
      <c r="L290" s="414">
        <v>4</v>
      </c>
      <c r="M290" s="414"/>
      <c r="N290" s="414"/>
      <c r="O290" s="386">
        <f t="shared" si="5"/>
        <v>1</v>
      </c>
      <c r="P290" s="414">
        <v>0</v>
      </c>
      <c r="Q290" s="414">
        <v>0</v>
      </c>
      <c r="R290" s="414">
        <v>1</v>
      </c>
      <c r="S290" s="414">
        <v>1</v>
      </c>
      <c r="T290" s="414">
        <v>1</v>
      </c>
      <c r="U290" s="414"/>
      <c r="V290" s="414">
        <v>0</v>
      </c>
      <c r="W290" s="414">
        <v>0</v>
      </c>
      <c r="X290" s="414">
        <v>0</v>
      </c>
      <c r="Y290" s="414">
        <v>0</v>
      </c>
      <c r="Z290" s="414"/>
    </row>
    <row r="291" spans="2:26" s="413" customFormat="1" ht="11.25" customHeight="1" x14ac:dyDescent="0.25">
      <c r="B291" s="431">
        <v>288</v>
      </c>
      <c r="C291" s="437" t="s">
        <v>1336</v>
      </c>
      <c r="D291" s="438" t="s">
        <v>1347</v>
      </c>
      <c r="E291" s="431" t="s">
        <v>1348</v>
      </c>
      <c r="F291" s="448">
        <f>'MT-ETUS'!R236</f>
        <v>0</v>
      </c>
      <c r="G291" s="439"/>
      <c r="H291" s="439"/>
      <c r="I291" s="440"/>
      <c r="J291" s="414"/>
      <c r="L291" s="414">
        <v>5</v>
      </c>
      <c r="M291" s="414"/>
      <c r="N291" s="414">
        <v>1</v>
      </c>
      <c r="O291" s="386">
        <f t="shared" si="5"/>
        <v>1</v>
      </c>
      <c r="P291" s="414">
        <v>0</v>
      </c>
      <c r="Q291" s="414">
        <v>1</v>
      </c>
      <c r="R291" s="414">
        <v>1</v>
      </c>
      <c r="S291" s="414">
        <v>1</v>
      </c>
      <c r="T291" s="414">
        <v>1</v>
      </c>
      <c r="U291" s="414"/>
      <c r="V291" s="414">
        <v>0</v>
      </c>
      <c r="W291" s="414">
        <v>0</v>
      </c>
      <c r="X291" s="414">
        <v>0</v>
      </c>
      <c r="Y291" s="414">
        <v>0</v>
      </c>
      <c r="Z291" s="414"/>
    </row>
    <row r="292" spans="2:26" s="413" customFormat="1" ht="11.25" customHeight="1" x14ac:dyDescent="0.25">
      <c r="B292" s="431">
        <v>289</v>
      </c>
      <c r="C292" s="437" t="s">
        <v>1336</v>
      </c>
      <c r="D292" s="438" t="s">
        <v>1349</v>
      </c>
      <c r="E292" s="431" t="s">
        <v>1350</v>
      </c>
      <c r="F292" s="448">
        <f>'MT-ETUS'!R237</f>
        <v>0</v>
      </c>
      <c r="G292" s="439"/>
      <c r="H292" s="439"/>
      <c r="I292" s="440"/>
      <c r="J292" s="414"/>
      <c r="L292" s="414">
        <v>5</v>
      </c>
      <c r="M292" s="414"/>
      <c r="N292" s="414">
        <v>1</v>
      </c>
      <c r="O292" s="386">
        <f t="shared" si="5"/>
        <v>1</v>
      </c>
      <c r="P292" s="414">
        <v>0</v>
      </c>
      <c r="Q292" s="414">
        <v>1</v>
      </c>
      <c r="R292" s="414">
        <v>1</v>
      </c>
      <c r="S292" s="414">
        <v>1</v>
      </c>
      <c r="T292" s="414">
        <v>1</v>
      </c>
      <c r="U292" s="414"/>
      <c r="V292" s="414">
        <v>0</v>
      </c>
      <c r="W292" s="414">
        <v>0</v>
      </c>
      <c r="X292" s="414">
        <v>0</v>
      </c>
      <c r="Y292" s="414">
        <v>0</v>
      </c>
      <c r="Z292" s="414"/>
    </row>
    <row r="293" spans="2:26" s="413" customFormat="1" ht="11.25" customHeight="1" x14ac:dyDescent="0.25">
      <c r="B293" s="431">
        <v>290</v>
      </c>
      <c r="C293" s="437" t="s">
        <v>1351</v>
      </c>
      <c r="D293" s="438" t="s">
        <v>1352</v>
      </c>
      <c r="E293" s="431" t="s">
        <v>1353</v>
      </c>
      <c r="F293" s="464" t="str">
        <f>'MT-ETUS'!M241&amp;" y "&amp;'MT-ETUS'!O241</f>
        <v xml:space="preserve">0 y </v>
      </c>
      <c r="G293" s="439"/>
      <c r="H293" s="439"/>
      <c r="I293" s="440"/>
      <c r="J293" s="414"/>
      <c r="L293" s="414">
        <v>4</v>
      </c>
      <c r="M293" s="414"/>
      <c r="N293" s="414"/>
      <c r="O293" s="386">
        <f t="shared" si="5"/>
        <v>1</v>
      </c>
      <c r="P293" s="414">
        <v>0</v>
      </c>
      <c r="Q293" s="414">
        <v>1</v>
      </c>
      <c r="R293" s="414">
        <v>1</v>
      </c>
      <c r="S293" s="414">
        <v>1</v>
      </c>
      <c r="T293" s="414">
        <v>1</v>
      </c>
      <c r="U293" s="414"/>
      <c r="V293" s="414">
        <v>0</v>
      </c>
      <c r="W293" s="414">
        <v>0</v>
      </c>
      <c r="X293" s="414">
        <v>0</v>
      </c>
      <c r="Y293" s="414">
        <v>0</v>
      </c>
      <c r="Z293" s="414"/>
    </row>
    <row r="294" spans="2:26" s="413" customFormat="1" ht="11.25" customHeight="1" x14ac:dyDescent="0.25">
      <c r="B294" s="431">
        <v>291</v>
      </c>
      <c r="C294" s="437" t="s">
        <v>1354</v>
      </c>
      <c r="D294" s="438" t="s">
        <v>1355</v>
      </c>
      <c r="E294" s="431" t="s">
        <v>1356</v>
      </c>
      <c r="F294" s="464" t="str">
        <f>ROUND('MT-ETUS'!M242,1)&amp;" y "&amp;'MT-ETUS'!O242</f>
        <v xml:space="preserve">0 y </v>
      </c>
      <c r="G294" s="439"/>
      <c r="H294" s="439"/>
      <c r="I294" s="440"/>
      <c r="J294" s="414"/>
      <c r="L294" s="414">
        <v>4</v>
      </c>
      <c r="M294" s="414"/>
      <c r="N294" s="414"/>
      <c r="O294" s="386">
        <f t="shared" si="5"/>
        <v>1</v>
      </c>
      <c r="P294" s="414">
        <v>0</v>
      </c>
      <c r="Q294" s="414">
        <v>0</v>
      </c>
      <c r="R294" s="414">
        <v>1</v>
      </c>
      <c r="S294" s="414">
        <v>1</v>
      </c>
      <c r="T294" s="414">
        <v>1</v>
      </c>
      <c r="U294" s="414"/>
      <c r="V294" s="414">
        <v>0</v>
      </c>
      <c r="W294" s="414">
        <v>0</v>
      </c>
      <c r="X294" s="414">
        <v>0</v>
      </c>
      <c r="Y294" s="414">
        <v>0</v>
      </c>
      <c r="Z294" s="414"/>
    </row>
    <row r="295" spans="2:26" s="413" customFormat="1" ht="11.25" customHeight="1" x14ac:dyDescent="0.25">
      <c r="B295" s="431">
        <v>292</v>
      </c>
      <c r="C295" s="437" t="s">
        <v>1357</v>
      </c>
      <c r="D295" s="438" t="s">
        <v>1358</v>
      </c>
      <c r="E295" s="431" t="s">
        <v>1359</v>
      </c>
      <c r="F295" s="448">
        <f>'MT-ETUS'!M243</f>
        <v>0</v>
      </c>
      <c r="G295" s="439"/>
      <c r="H295" s="439"/>
      <c r="I295" s="440"/>
      <c r="J295" s="414"/>
      <c r="L295" s="414">
        <v>4</v>
      </c>
      <c r="M295" s="414"/>
      <c r="N295" s="414">
        <v>1</v>
      </c>
      <c r="O295" s="386">
        <f t="shared" si="5"/>
        <v>1</v>
      </c>
      <c r="P295" s="414">
        <v>0</v>
      </c>
      <c r="Q295" s="414">
        <v>0</v>
      </c>
      <c r="R295" s="414">
        <v>1</v>
      </c>
      <c r="S295" s="414">
        <v>1</v>
      </c>
      <c r="T295" s="414">
        <v>1</v>
      </c>
      <c r="U295" s="414"/>
      <c r="V295" s="414">
        <v>0</v>
      </c>
      <c r="W295" s="414">
        <v>0</v>
      </c>
      <c r="X295" s="414">
        <v>0</v>
      </c>
      <c r="Y295" s="414">
        <v>0</v>
      </c>
      <c r="Z295" s="414"/>
    </row>
    <row r="296" spans="2:26" s="413" customFormat="1" ht="11.25" customHeight="1" x14ac:dyDescent="0.25">
      <c r="B296" s="431">
        <v>293</v>
      </c>
      <c r="C296" s="437" t="s">
        <v>1357</v>
      </c>
      <c r="D296" s="438" t="s">
        <v>1360</v>
      </c>
      <c r="E296" s="431" t="s">
        <v>1361</v>
      </c>
      <c r="F296" s="448">
        <f>'MT-ETUS'!M244</f>
        <v>0</v>
      </c>
      <c r="G296" s="439"/>
      <c r="H296" s="439"/>
      <c r="I296" s="440"/>
      <c r="J296" s="414"/>
      <c r="L296" s="414">
        <v>4</v>
      </c>
      <c r="M296" s="414"/>
      <c r="N296" s="414">
        <v>1</v>
      </c>
      <c r="O296" s="386">
        <f t="shared" si="5"/>
        <v>1</v>
      </c>
      <c r="P296" s="414">
        <v>0</v>
      </c>
      <c r="Q296" s="414">
        <v>0</v>
      </c>
      <c r="R296" s="414">
        <v>1</v>
      </c>
      <c r="S296" s="414">
        <v>1</v>
      </c>
      <c r="T296" s="414">
        <v>1</v>
      </c>
      <c r="U296" s="414"/>
      <c r="V296" s="414">
        <v>0</v>
      </c>
      <c r="W296" s="414">
        <v>0</v>
      </c>
      <c r="X296" s="414">
        <v>0</v>
      </c>
      <c r="Y296" s="414">
        <v>0</v>
      </c>
      <c r="Z296" s="414"/>
    </row>
    <row r="297" spans="2:26" s="413" customFormat="1" ht="11.25" customHeight="1" x14ac:dyDescent="0.25">
      <c r="B297" s="431">
        <v>294</v>
      </c>
      <c r="C297" s="437" t="s">
        <v>1357</v>
      </c>
      <c r="D297" s="438" t="s">
        <v>1362</v>
      </c>
      <c r="E297" s="431" t="s">
        <v>1363</v>
      </c>
      <c r="F297" s="448">
        <f>'MT-ETUS'!M245</f>
        <v>0</v>
      </c>
      <c r="G297" s="439"/>
      <c r="H297" s="439"/>
      <c r="I297" s="440"/>
      <c r="J297" s="414"/>
      <c r="L297" s="414">
        <v>4</v>
      </c>
      <c r="M297" s="414"/>
      <c r="N297" s="414"/>
      <c r="O297" s="386">
        <f t="shared" si="5"/>
        <v>1</v>
      </c>
      <c r="P297" s="414">
        <v>0</v>
      </c>
      <c r="Q297" s="414">
        <v>0</v>
      </c>
      <c r="R297" s="414">
        <v>1</v>
      </c>
      <c r="S297" s="414">
        <v>1</v>
      </c>
      <c r="T297" s="414">
        <v>1</v>
      </c>
      <c r="U297" s="414"/>
      <c r="V297" s="414">
        <v>0</v>
      </c>
      <c r="W297" s="414">
        <v>0</v>
      </c>
      <c r="X297" s="414">
        <v>0</v>
      </c>
      <c r="Y297" s="414">
        <v>0</v>
      </c>
      <c r="Z297" s="414"/>
    </row>
    <row r="298" spans="2:26" s="413" customFormat="1" ht="11.25" customHeight="1" x14ac:dyDescent="0.25">
      <c r="B298" s="431">
        <v>295</v>
      </c>
      <c r="C298" s="437" t="s">
        <v>1351</v>
      </c>
      <c r="D298" s="438" t="s">
        <v>1364</v>
      </c>
      <c r="E298" s="431" t="s">
        <v>1365</v>
      </c>
      <c r="F298" s="452" t="e">
        <f>ROUND('MT-ETUS'!R241,0)&amp;" y "&amp;'MT-ETUS'!T241</f>
        <v>#DIV/0!</v>
      </c>
      <c r="G298" s="439"/>
      <c r="H298" s="439"/>
      <c r="I298" s="440"/>
      <c r="J298" s="414"/>
      <c r="L298" s="414">
        <v>4</v>
      </c>
      <c r="M298" s="414"/>
      <c r="N298" s="414"/>
      <c r="O298" s="386">
        <f t="shared" si="5"/>
        <v>1</v>
      </c>
      <c r="P298" s="414">
        <v>0</v>
      </c>
      <c r="Q298" s="414">
        <v>1</v>
      </c>
      <c r="R298" s="414">
        <v>1</v>
      </c>
      <c r="S298" s="414">
        <v>1</v>
      </c>
      <c r="T298" s="414">
        <v>1</v>
      </c>
      <c r="U298" s="414"/>
      <c r="V298" s="414">
        <v>0</v>
      </c>
      <c r="W298" s="414">
        <v>0</v>
      </c>
      <c r="X298" s="414">
        <v>0</v>
      </c>
      <c r="Y298" s="414">
        <v>0</v>
      </c>
      <c r="Z298" s="414"/>
    </row>
    <row r="299" spans="2:26" s="413" customFormat="1" ht="11.25" customHeight="1" x14ac:dyDescent="0.25">
      <c r="B299" s="431">
        <v>296</v>
      </c>
      <c r="C299" s="437" t="s">
        <v>1354</v>
      </c>
      <c r="D299" s="438" t="s">
        <v>1366</v>
      </c>
      <c r="E299" s="431" t="s">
        <v>1367</v>
      </c>
      <c r="F299" s="452" t="str">
        <f>ROUND('MT-ETUS'!R242,1)&amp;" y "&amp;'MT-ETUS'!T242</f>
        <v xml:space="preserve">0 y </v>
      </c>
      <c r="G299" s="439"/>
      <c r="H299" s="439"/>
      <c r="I299" s="440"/>
      <c r="J299" s="414"/>
      <c r="L299" s="414">
        <v>4</v>
      </c>
      <c r="M299" s="414"/>
      <c r="N299" s="414"/>
      <c r="O299" s="386">
        <f t="shared" si="5"/>
        <v>1</v>
      </c>
      <c r="P299" s="414">
        <v>0</v>
      </c>
      <c r="Q299" s="414">
        <v>0</v>
      </c>
      <c r="R299" s="414">
        <v>1</v>
      </c>
      <c r="S299" s="414">
        <v>1</v>
      </c>
      <c r="T299" s="414">
        <v>1</v>
      </c>
      <c r="U299" s="414"/>
      <c r="V299" s="414">
        <v>0</v>
      </c>
      <c r="W299" s="414">
        <v>0</v>
      </c>
      <c r="X299" s="414">
        <v>0</v>
      </c>
      <c r="Y299" s="414">
        <v>0</v>
      </c>
      <c r="Z299" s="414"/>
    </row>
    <row r="300" spans="2:26" s="413" customFormat="1" ht="11.25" customHeight="1" x14ac:dyDescent="0.25">
      <c r="B300" s="431">
        <v>297</v>
      </c>
      <c r="C300" s="437" t="s">
        <v>1357</v>
      </c>
      <c r="D300" s="438" t="s">
        <v>1368</v>
      </c>
      <c r="E300" s="431" t="s">
        <v>1369</v>
      </c>
      <c r="F300" s="448">
        <f>'MT-ETUS'!R243</f>
        <v>0</v>
      </c>
      <c r="G300" s="439"/>
      <c r="H300" s="439"/>
      <c r="I300" s="440"/>
      <c r="J300" s="414"/>
      <c r="L300" s="414">
        <v>4</v>
      </c>
      <c r="M300" s="414"/>
      <c r="N300" s="414">
        <v>1</v>
      </c>
      <c r="O300" s="386">
        <f t="shared" si="5"/>
        <v>1</v>
      </c>
      <c r="P300" s="414">
        <v>0</v>
      </c>
      <c r="Q300" s="414">
        <v>0</v>
      </c>
      <c r="R300" s="414">
        <v>1</v>
      </c>
      <c r="S300" s="414">
        <v>1</v>
      </c>
      <c r="T300" s="414">
        <v>1</v>
      </c>
      <c r="U300" s="414"/>
      <c r="V300" s="414">
        <v>0</v>
      </c>
      <c r="W300" s="414">
        <v>0</v>
      </c>
      <c r="X300" s="414">
        <v>0</v>
      </c>
      <c r="Y300" s="414">
        <v>0</v>
      </c>
      <c r="Z300" s="414"/>
    </row>
    <row r="301" spans="2:26" s="413" customFormat="1" ht="11.25" customHeight="1" x14ac:dyDescent="0.25">
      <c r="B301" s="431">
        <v>298</v>
      </c>
      <c r="C301" s="437" t="s">
        <v>1357</v>
      </c>
      <c r="D301" s="438" t="s">
        <v>1370</v>
      </c>
      <c r="E301" s="431" t="s">
        <v>1371</v>
      </c>
      <c r="F301" s="448">
        <f>'MT-ETUS'!R244</f>
        <v>0</v>
      </c>
      <c r="G301" s="439"/>
      <c r="H301" s="439"/>
      <c r="I301" s="440"/>
      <c r="J301" s="414"/>
      <c r="L301" s="414">
        <v>4</v>
      </c>
      <c r="M301" s="414"/>
      <c r="N301" s="414">
        <v>1</v>
      </c>
      <c r="O301" s="386">
        <f t="shared" si="5"/>
        <v>1</v>
      </c>
      <c r="P301" s="414">
        <v>0</v>
      </c>
      <c r="Q301" s="414">
        <v>0</v>
      </c>
      <c r="R301" s="414">
        <v>1</v>
      </c>
      <c r="S301" s="414">
        <v>1</v>
      </c>
      <c r="T301" s="414">
        <v>1</v>
      </c>
      <c r="U301" s="414"/>
      <c r="V301" s="414">
        <v>0</v>
      </c>
      <c r="W301" s="414">
        <v>0</v>
      </c>
      <c r="X301" s="414">
        <v>0</v>
      </c>
      <c r="Y301" s="414">
        <v>0</v>
      </c>
      <c r="Z301" s="414"/>
    </row>
    <row r="302" spans="2:26" s="413" customFormat="1" ht="11.25" customHeight="1" x14ac:dyDescent="0.25">
      <c r="B302" s="431">
        <v>299</v>
      </c>
      <c r="C302" s="437" t="s">
        <v>1357</v>
      </c>
      <c r="D302" s="438" t="s">
        <v>1372</v>
      </c>
      <c r="E302" s="431" t="s">
        <v>1373</v>
      </c>
      <c r="F302" s="448">
        <f>'MT-ETUS'!R245</f>
        <v>0</v>
      </c>
      <c r="G302" s="439"/>
      <c r="H302" s="439"/>
      <c r="I302" s="440"/>
      <c r="J302" s="414"/>
      <c r="L302" s="414">
        <v>4</v>
      </c>
      <c r="M302" s="414"/>
      <c r="N302" s="414"/>
      <c r="O302" s="386">
        <f t="shared" si="5"/>
        <v>1</v>
      </c>
      <c r="P302" s="414">
        <v>0</v>
      </c>
      <c r="Q302" s="414">
        <v>0</v>
      </c>
      <c r="R302" s="414">
        <v>1</v>
      </c>
      <c r="S302" s="414">
        <v>1</v>
      </c>
      <c r="T302" s="414">
        <v>1</v>
      </c>
      <c r="U302" s="414"/>
      <c r="V302" s="414">
        <v>0</v>
      </c>
      <c r="W302" s="414">
        <v>0</v>
      </c>
      <c r="X302" s="414">
        <v>0</v>
      </c>
      <c r="Y302" s="414">
        <v>0</v>
      </c>
      <c r="Z302" s="414"/>
    </row>
    <row r="303" spans="2:26" s="413" customFormat="1" ht="11.25" customHeight="1" x14ac:dyDescent="0.25">
      <c r="B303" s="431">
        <v>300</v>
      </c>
      <c r="C303" s="437" t="s">
        <v>1357</v>
      </c>
      <c r="D303" s="438" t="s">
        <v>1374</v>
      </c>
      <c r="E303" s="431" t="s">
        <v>1375</v>
      </c>
      <c r="F303" s="448" t="e">
        <f>"La suma es "&amp;'MT-ETUS'!M246&amp;"W. que es el "&amp;'MT-ETUS'!O246&amp;" % y "&amp;'MT-ETUS'!V246&amp;" cumple"</f>
        <v>#DIV/0!</v>
      </c>
      <c r="G303" s="439"/>
      <c r="H303" s="439"/>
      <c r="I303" s="440"/>
      <c r="J303" s="414"/>
      <c r="L303" s="414">
        <v>4</v>
      </c>
      <c r="M303" s="414"/>
      <c r="N303" s="414"/>
      <c r="O303" s="386">
        <f t="shared" si="5"/>
        <v>1</v>
      </c>
      <c r="P303" s="414">
        <v>0</v>
      </c>
      <c r="Q303" s="414">
        <v>0</v>
      </c>
      <c r="R303" s="414">
        <v>1</v>
      </c>
      <c r="S303" s="414">
        <v>1</v>
      </c>
      <c r="T303" s="414">
        <v>1</v>
      </c>
      <c r="U303" s="414"/>
      <c r="V303" s="414">
        <v>0</v>
      </c>
      <c r="W303" s="414">
        <v>0</v>
      </c>
      <c r="X303" s="414">
        <v>0</v>
      </c>
      <c r="Y303" s="414">
        <v>0</v>
      </c>
      <c r="Z303" s="414"/>
    </row>
    <row r="304" spans="2:26" s="413" customFormat="1" ht="11.25" customHeight="1" x14ac:dyDescent="0.25">
      <c r="B304" s="431">
        <v>301</v>
      </c>
      <c r="C304" s="437" t="s">
        <v>1376</v>
      </c>
      <c r="D304" s="438" t="s">
        <v>1377</v>
      </c>
      <c r="E304" s="431"/>
      <c r="F304" s="512" t="s">
        <v>1724</v>
      </c>
      <c r="G304" s="439"/>
      <c r="H304" s="439"/>
      <c r="I304" s="440"/>
      <c r="J304" s="414"/>
      <c r="L304" s="414">
        <v>2</v>
      </c>
      <c r="M304" s="414"/>
      <c r="N304" s="414">
        <v>1</v>
      </c>
      <c r="O304" s="386">
        <f t="shared" si="5"/>
        <v>1</v>
      </c>
      <c r="P304" s="414">
        <v>0</v>
      </c>
      <c r="Q304" s="414">
        <v>0</v>
      </c>
      <c r="R304" s="414">
        <v>1</v>
      </c>
      <c r="S304" s="414">
        <v>1</v>
      </c>
      <c r="T304" s="414">
        <v>1</v>
      </c>
      <c r="U304" s="414"/>
      <c r="V304" s="414">
        <v>0</v>
      </c>
      <c r="W304" s="414">
        <v>0</v>
      </c>
      <c r="X304" s="414">
        <v>0</v>
      </c>
      <c r="Y304" s="414">
        <v>0</v>
      </c>
      <c r="Z304" s="414"/>
    </row>
    <row r="305" spans="2:26" s="413" customFormat="1" ht="11.25" customHeight="1" x14ac:dyDescent="0.25">
      <c r="B305" s="431">
        <v>302</v>
      </c>
      <c r="C305" s="437" t="s">
        <v>1378</v>
      </c>
      <c r="D305" s="438" t="s">
        <v>1379</v>
      </c>
      <c r="E305" s="431"/>
      <c r="F305" s="512" t="s">
        <v>1724</v>
      </c>
      <c r="G305" s="439"/>
      <c r="H305" s="439"/>
      <c r="I305" s="440"/>
      <c r="J305" s="414"/>
      <c r="L305" s="414">
        <v>2</v>
      </c>
      <c r="M305" s="414"/>
      <c r="N305" s="414">
        <v>1</v>
      </c>
      <c r="O305" s="386">
        <f t="shared" si="5"/>
        <v>1</v>
      </c>
      <c r="P305" s="414">
        <v>0</v>
      </c>
      <c r="Q305" s="414">
        <v>0</v>
      </c>
      <c r="R305" s="414">
        <v>1</v>
      </c>
      <c r="S305" s="414">
        <v>1</v>
      </c>
      <c r="T305" s="414">
        <v>1</v>
      </c>
      <c r="U305" s="414"/>
      <c r="V305" s="414">
        <v>0</v>
      </c>
      <c r="W305" s="414">
        <v>0</v>
      </c>
      <c r="X305" s="414">
        <v>0</v>
      </c>
      <c r="Y305" s="414">
        <v>0</v>
      </c>
      <c r="Z305" s="414"/>
    </row>
    <row r="306" spans="2:26" s="413" customFormat="1" ht="11.25" customHeight="1" x14ac:dyDescent="0.25">
      <c r="B306" s="431">
        <v>303</v>
      </c>
      <c r="C306" s="437" t="s">
        <v>1378</v>
      </c>
      <c r="D306" s="438" t="s">
        <v>1380</v>
      </c>
      <c r="E306" s="431"/>
      <c r="F306" s="512" t="s">
        <v>1724</v>
      </c>
      <c r="G306" s="439"/>
      <c r="H306" s="439"/>
      <c r="I306" s="440"/>
      <c r="J306" s="414"/>
      <c r="L306" s="414">
        <v>2</v>
      </c>
      <c r="M306" s="414"/>
      <c r="N306" s="414">
        <v>1</v>
      </c>
      <c r="O306" s="386">
        <f t="shared" si="5"/>
        <v>1</v>
      </c>
      <c r="P306" s="414">
        <v>0</v>
      </c>
      <c r="Q306" s="414">
        <v>0</v>
      </c>
      <c r="R306" s="414">
        <v>1</v>
      </c>
      <c r="S306" s="414">
        <v>1</v>
      </c>
      <c r="T306" s="414">
        <v>1</v>
      </c>
      <c r="U306" s="414"/>
      <c r="V306" s="414">
        <v>0</v>
      </c>
      <c r="W306" s="414">
        <v>1</v>
      </c>
      <c r="X306" s="414">
        <v>1</v>
      </c>
      <c r="Y306" s="414">
        <v>1</v>
      </c>
      <c r="Z306" s="414"/>
    </row>
    <row r="307" spans="2:26" s="413" customFormat="1" ht="11.25" customHeight="1" x14ac:dyDescent="0.25">
      <c r="B307" s="431">
        <v>304</v>
      </c>
      <c r="C307" s="437" t="s">
        <v>1381</v>
      </c>
      <c r="D307" s="438" t="s">
        <v>1382</v>
      </c>
      <c r="E307" s="431"/>
      <c r="F307" s="512" t="s">
        <v>1724</v>
      </c>
      <c r="G307" s="439"/>
      <c r="H307" s="439"/>
      <c r="I307" s="440"/>
      <c r="J307" s="414"/>
      <c r="L307" s="414">
        <v>2</v>
      </c>
      <c r="M307" s="414"/>
      <c r="N307" s="414">
        <v>1</v>
      </c>
      <c r="O307" s="386">
        <f t="shared" si="5"/>
        <v>1</v>
      </c>
      <c r="P307" s="414">
        <v>0</v>
      </c>
      <c r="Q307" s="414">
        <v>0</v>
      </c>
      <c r="R307" s="414">
        <v>1</v>
      </c>
      <c r="S307" s="414">
        <v>1</v>
      </c>
      <c r="T307" s="414">
        <v>1</v>
      </c>
      <c r="U307" s="414"/>
      <c r="V307" s="414">
        <v>0</v>
      </c>
      <c r="W307" s="414">
        <v>1</v>
      </c>
      <c r="X307" s="414">
        <v>1</v>
      </c>
      <c r="Y307" s="414">
        <v>1</v>
      </c>
      <c r="Z307" s="414"/>
    </row>
    <row r="308" spans="2:26" s="413" customFormat="1" ht="11.25" customHeight="1" x14ac:dyDescent="0.25">
      <c r="B308" s="431">
        <v>305</v>
      </c>
      <c r="C308" s="437" t="s">
        <v>1381</v>
      </c>
      <c r="D308" s="438" t="s">
        <v>1383</v>
      </c>
      <c r="E308" s="431"/>
      <c r="F308" s="512" t="s">
        <v>1724</v>
      </c>
      <c r="G308" s="439"/>
      <c r="H308" s="439"/>
      <c r="I308" s="440"/>
      <c r="J308" s="414"/>
      <c r="L308" s="414">
        <v>2</v>
      </c>
      <c r="M308" s="414"/>
      <c r="N308" s="414">
        <v>1</v>
      </c>
      <c r="O308" s="386">
        <f t="shared" si="5"/>
        <v>1</v>
      </c>
      <c r="P308" s="414">
        <v>0</v>
      </c>
      <c r="Q308" s="414">
        <v>0</v>
      </c>
      <c r="R308" s="414">
        <v>1</v>
      </c>
      <c r="S308" s="414">
        <v>1</v>
      </c>
      <c r="T308" s="414">
        <v>1</v>
      </c>
      <c r="U308" s="414"/>
      <c r="V308" s="414">
        <v>0</v>
      </c>
      <c r="W308" s="414">
        <v>1</v>
      </c>
      <c r="X308" s="414">
        <v>1</v>
      </c>
      <c r="Y308" s="414">
        <v>1</v>
      </c>
      <c r="Z308" s="414"/>
    </row>
    <row r="309" spans="2:26" s="413" customFormat="1" ht="11.25" customHeight="1" x14ac:dyDescent="0.25">
      <c r="B309" s="431">
        <v>306</v>
      </c>
      <c r="C309" s="437" t="s">
        <v>1381</v>
      </c>
      <c r="D309" s="438" t="s">
        <v>1384</v>
      </c>
      <c r="E309" s="431"/>
      <c r="F309" s="512" t="s">
        <v>1724</v>
      </c>
      <c r="G309" s="439"/>
      <c r="H309" s="439"/>
      <c r="I309" s="440"/>
      <c r="J309" s="414"/>
      <c r="L309" s="414">
        <v>2</v>
      </c>
      <c r="M309" s="414"/>
      <c r="N309" s="414">
        <v>1</v>
      </c>
      <c r="O309" s="386">
        <f t="shared" si="5"/>
        <v>1</v>
      </c>
      <c r="P309" s="414">
        <v>0</v>
      </c>
      <c r="Q309" s="414">
        <v>0</v>
      </c>
      <c r="R309" s="414">
        <v>1</v>
      </c>
      <c r="S309" s="414">
        <v>1</v>
      </c>
      <c r="T309" s="414">
        <v>1</v>
      </c>
      <c r="U309" s="414"/>
      <c r="V309" s="414">
        <v>0</v>
      </c>
      <c r="W309" s="414">
        <v>0</v>
      </c>
      <c r="X309" s="414">
        <v>0</v>
      </c>
      <c r="Y309" s="414">
        <v>0</v>
      </c>
      <c r="Z309" s="414"/>
    </row>
    <row r="310" spans="2:26" s="413" customFormat="1" ht="11.25" customHeight="1" x14ac:dyDescent="0.25">
      <c r="B310" s="431">
        <v>307</v>
      </c>
      <c r="C310" s="437" t="s">
        <v>1381</v>
      </c>
      <c r="D310" s="438" t="s">
        <v>1385</v>
      </c>
      <c r="E310" s="431"/>
      <c r="F310" s="512" t="s">
        <v>1724</v>
      </c>
      <c r="G310" s="439"/>
      <c r="H310" s="439"/>
      <c r="I310" s="440"/>
      <c r="J310" s="414"/>
      <c r="L310" s="414">
        <v>2</v>
      </c>
      <c r="M310" s="414"/>
      <c r="N310" s="414">
        <v>1</v>
      </c>
      <c r="O310" s="386">
        <f t="shared" si="5"/>
        <v>1</v>
      </c>
      <c r="P310" s="414">
        <v>0</v>
      </c>
      <c r="Q310" s="414">
        <v>0</v>
      </c>
      <c r="R310" s="414">
        <v>1</v>
      </c>
      <c r="S310" s="414">
        <v>1</v>
      </c>
      <c r="T310" s="414">
        <v>1</v>
      </c>
      <c r="U310" s="414"/>
      <c r="V310" s="414">
        <v>0</v>
      </c>
      <c r="W310" s="414">
        <v>0</v>
      </c>
      <c r="X310" s="414">
        <v>0</v>
      </c>
      <c r="Y310" s="414">
        <v>0</v>
      </c>
      <c r="Z310" s="414"/>
    </row>
    <row r="311" spans="2:26" s="413" customFormat="1" ht="11.25" customHeight="1" x14ac:dyDescent="0.25">
      <c r="B311" s="431">
        <v>308</v>
      </c>
      <c r="C311" s="437" t="s">
        <v>1386</v>
      </c>
      <c r="D311" s="438" t="s">
        <v>1387</v>
      </c>
      <c r="E311" s="431"/>
      <c r="F311" s="512" t="s">
        <v>1724</v>
      </c>
      <c r="G311" s="439"/>
      <c r="H311" s="439"/>
      <c r="I311" s="440"/>
      <c r="J311" s="414"/>
      <c r="L311" s="414">
        <v>2</v>
      </c>
      <c r="M311" s="414"/>
      <c r="N311" s="414">
        <v>1</v>
      </c>
      <c r="O311" s="386">
        <f t="shared" si="5"/>
        <v>1</v>
      </c>
      <c r="P311" s="414">
        <v>0</v>
      </c>
      <c r="Q311" s="414">
        <v>0</v>
      </c>
      <c r="R311" s="414">
        <v>1</v>
      </c>
      <c r="S311" s="414">
        <v>1</v>
      </c>
      <c r="T311" s="414">
        <v>1</v>
      </c>
      <c r="U311" s="414"/>
      <c r="V311" s="414">
        <v>0</v>
      </c>
      <c r="W311" s="414">
        <v>0</v>
      </c>
      <c r="X311" s="414">
        <v>0</v>
      </c>
      <c r="Y311" s="414">
        <v>0</v>
      </c>
      <c r="Z311" s="414"/>
    </row>
    <row r="312" spans="2:26" s="413" customFormat="1" ht="11.25" customHeight="1" x14ac:dyDescent="0.25">
      <c r="B312" s="431">
        <v>309</v>
      </c>
      <c r="C312" s="437" t="s">
        <v>1388</v>
      </c>
      <c r="D312" s="438" t="s">
        <v>1389</v>
      </c>
      <c r="E312" s="431"/>
      <c r="F312" s="512" t="s">
        <v>1724</v>
      </c>
      <c r="G312" s="439"/>
      <c r="H312" s="439"/>
      <c r="I312" s="440"/>
      <c r="J312" s="414"/>
      <c r="L312" s="414">
        <v>2</v>
      </c>
      <c r="M312" s="414"/>
      <c r="N312" s="414">
        <v>1</v>
      </c>
      <c r="O312" s="386">
        <f t="shared" si="5"/>
        <v>1</v>
      </c>
      <c r="P312" s="414">
        <v>0</v>
      </c>
      <c r="Q312" s="414">
        <v>0</v>
      </c>
      <c r="R312" s="414">
        <v>1</v>
      </c>
      <c r="S312" s="414">
        <v>1</v>
      </c>
      <c r="T312" s="414">
        <v>1</v>
      </c>
      <c r="U312" s="414"/>
      <c r="V312" s="414">
        <v>0</v>
      </c>
      <c r="W312" s="414">
        <v>0</v>
      </c>
      <c r="X312" s="414">
        <v>0</v>
      </c>
      <c r="Y312" s="414">
        <v>0</v>
      </c>
      <c r="Z312" s="414"/>
    </row>
    <row r="313" spans="2:26" s="413" customFormat="1" ht="11.25" customHeight="1" x14ac:dyDescent="0.25">
      <c r="B313" s="431">
        <v>310</v>
      </c>
      <c r="C313" s="437" t="s">
        <v>1390</v>
      </c>
      <c r="D313" s="438" t="s">
        <v>1391</v>
      </c>
      <c r="E313" s="431"/>
      <c r="F313" s="512" t="s">
        <v>1327</v>
      </c>
      <c r="G313" s="439"/>
      <c r="H313" s="439"/>
      <c r="I313" s="440"/>
      <c r="J313" s="414"/>
      <c r="L313" s="414">
        <v>1</v>
      </c>
      <c r="M313" s="414"/>
      <c r="N313" s="414">
        <v>1</v>
      </c>
      <c r="O313" s="386">
        <f t="shared" si="5"/>
        <v>1</v>
      </c>
      <c r="P313" s="414">
        <v>0</v>
      </c>
      <c r="Q313" s="414">
        <v>0</v>
      </c>
      <c r="R313" s="414">
        <v>0</v>
      </c>
      <c r="S313" s="414">
        <v>0</v>
      </c>
      <c r="T313" s="414">
        <v>1</v>
      </c>
      <c r="U313" s="414"/>
      <c r="V313" s="414">
        <v>0</v>
      </c>
      <c r="W313" s="414">
        <v>0</v>
      </c>
      <c r="X313" s="414">
        <v>0</v>
      </c>
      <c r="Y313" s="414">
        <v>1</v>
      </c>
      <c r="Z313" s="414"/>
    </row>
    <row r="314" spans="2:26" s="413" customFormat="1" ht="11.25" customHeight="1" x14ac:dyDescent="0.25">
      <c r="B314" s="431">
        <v>311</v>
      </c>
      <c r="C314" s="437" t="s">
        <v>1392</v>
      </c>
      <c r="D314" s="438" t="s">
        <v>1393</v>
      </c>
      <c r="E314" s="431" t="s">
        <v>1394</v>
      </c>
      <c r="F314" s="448" t="str">
        <f>'MT-ETUS'!M133&amp;" y "&amp;'MT-ETUS'!Q133</f>
        <v xml:space="preserve">- y </v>
      </c>
      <c r="G314" s="439"/>
      <c r="H314" s="439"/>
      <c r="I314" s="440"/>
      <c r="J314" s="414"/>
      <c r="L314" s="414">
        <v>5</v>
      </c>
      <c r="M314" s="414"/>
      <c r="N314" s="414"/>
      <c r="O314" s="386">
        <f t="shared" si="5"/>
        <v>1</v>
      </c>
      <c r="P314" s="414">
        <v>0</v>
      </c>
      <c r="Q314" s="414">
        <v>0</v>
      </c>
      <c r="R314" s="414">
        <v>1</v>
      </c>
      <c r="S314" s="414">
        <v>1</v>
      </c>
      <c r="T314" s="414">
        <v>1</v>
      </c>
      <c r="U314" s="414"/>
      <c r="V314" s="414">
        <v>0</v>
      </c>
      <c r="W314" s="414">
        <v>1</v>
      </c>
      <c r="X314" s="414">
        <v>1</v>
      </c>
      <c r="Y314" s="414">
        <v>1</v>
      </c>
      <c r="Z314" s="414"/>
    </row>
    <row r="315" spans="2:26" s="413" customFormat="1" ht="11.25" customHeight="1" x14ac:dyDescent="0.25">
      <c r="B315" s="431">
        <v>312</v>
      </c>
      <c r="C315" s="437" t="s">
        <v>1392</v>
      </c>
      <c r="D315" s="438" t="s">
        <v>337</v>
      </c>
      <c r="E315" s="431" t="s">
        <v>1012</v>
      </c>
      <c r="F315" s="448" t="str">
        <f>'MT-ETUS'!M134&amp;" y "&amp;'MT-ETUS'!Q134</f>
        <v xml:space="preserve">- y </v>
      </c>
      <c r="G315" s="439"/>
      <c r="H315" s="439"/>
      <c r="I315" s="440"/>
      <c r="J315" s="414"/>
      <c r="L315" s="414">
        <v>5</v>
      </c>
      <c r="M315" s="414"/>
      <c r="N315" s="414"/>
      <c r="O315" s="386">
        <f t="shared" si="5"/>
        <v>1</v>
      </c>
      <c r="P315" s="414">
        <v>0</v>
      </c>
      <c r="Q315" s="414">
        <v>0</v>
      </c>
      <c r="R315" s="414">
        <v>1</v>
      </c>
      <c r="S315" s="414">
        <v>1</v>
      </c>
      <c r="T315" s="414">
        <v>1</v>
      </c>
      <c r="U315" s="414"/>
      <c r="V315" s="414">
        <v>0</v>
      </c>
      <c r="W315" s="414">
        <v>1</v>
      </c>
      <c r="X315" s="414">
        <v>1</v>
      </c>
      <c r="Y315" s="414">
        <v>1</v>
      </c>
      <c r="Z315" s="414"/>
    </row>
    <row r="316" spans="2:26" s="413" customFormat="1" ht="11.25" customHeight="1" x14ac:dyDescent="0.25">
      <c r="B316" s="431">
        <v>313</v>
      </c>
      <c r="C316" s="437" t="s">
        <v>1395</v>
      </c>
      <c r="D316" s="438" t="s">
        <v>1396</v>
      </c>
      <c r="E316" s="431"/>
      <c r="F316" s="512" t="s">
        <v>1327</v>
      </c>
      <c r="G316" s="439"/>
      <c r="H316" s="439"/>
      <c r="I316" s="440"/>
      <c r="J316" s="414"/>
      <c r="L316" s="414">
        <v>1</v>
      </c>
      <c r="M316" s="414"/>
      <c r="N316" s="414">
        <v>1</v>
      </c>
      <c r="O316" s="386">
        <f t="shared" si="5"/>
        <v>1</v>
      </c>
      <c r="P316" s="414">
        <v>0</v>
      </c>
      <c r="Q316" s="414">
        <v>0</v>
      </c>
      <c r="R316" s="414">
        <v>0</v>
      </c>
      <c r="S316" s="414">
        <v>0</v>
      </c>
      <c r="T316" s="414">
        <v>1</v>
      </c>
      <c r="U316" s="414"/>
      <c r="V316" s="414">
        <v>0</v>
      </c>
      <c r="W316" s="414">
        <v>0</v>
      </c>
      <c r="X316" s="414">
        <v>0</v>
      </c>
      <c r="Y316" s="414">
        <v>1</v>
      </c>
      <c r="Z316" s="414"/>
    </row>
    <row r="317" spans="2:26" s="413" customFormat="1" ht="11.25" customHeight="1" x14ac:dyDescent="0.25">
      <c r="B317" s="431">
        <v>314</v>
      </c>
      <c r="C317" s="437" t="s">
        <v>1397</v>
      </c>
      <c r="D317" s="438" t="s">
        <v>1398</v>
      </c>
      <c r="E317" s="431"/>
      <c r="F317" s="512" t="s">
        <v>1327</v>
      </c>
      <c r="G317" s="439"/>
      <c r="H317" s="439"/>
      <c r="I317" s="440"/>
      <c r="J317" s="414"/>
      <c r="L317" s="414">
        <v>1</v>
      </c>
      <c r="M317" s="414"/>
      <c r="N317" s="414">
        <v>1</v>
      </c>
      <c r="O317" s="386">
        <f t="shared" si="5"/>
        <v>1</v>
      </c>
      <c r="P317" s="414">
        <v>0</v>
      </c>
      <c r="Q317" s="414">
        <v>0</v>
      </c>
      <c r="R317" s="414">
        <v>0</v>
      </c>
      <c r="S317" s="414">
        <v>0</v>
      </c>
      <c r="T317" s="414">
        <v>1</v>
      </c>
      <c r="U317" s="414"/>
      <c r="V317" s="414">
        <v>0</v>
      </c>
      <c r="W317" s="414">
        <v>0</v>
      </c>
      <c r="X317" s="414">
        <v>0</v>
      </c>
      <c r="Y317" s="414">
        <v>1</v>
      </c>
      <c r="Z317" s="414"/>
    </row>
    <row r="318" spans="2:26" s="413" customFormat="1" ht="11.25" customHeight="1" x14ac:dyDescent="0.25">
      <c r="B318" s="431">
        <v>315</v>
      </c>
      <c r="C318" s="437" t="s">
        <v>1399</v>
      </c>
      <c r="D318" s="438" t="s">
        <v>1400</v>
      </c>
      <c r="E318" s="431"/>
      <c r="F318" s="512" t="s">
        <v>1327</v>
      </c>
      <c r="G318" s="439"/>
      <c r="H318" s="439"/>
      <c r="I318" s="440"/>
      <c r="J318" s="414"/>
      <c r="L318" s="414">
        <v>1</v>
      </c>
      <c r="M318" s="414"/>
      <c r="N318" s="414">
        <v>1</v>
      </c>
      <c r="O318" s="386">
        <f t="shared" si="5"/>
        <v>1</v>
      </c>
      <c r="P318" s="414">
        <v>0</v>
      </c>
      <c r="Q318" s="414">
        <v>0</v>
      </c>
      <c r="R318" s="414">
        <v>0</v>
      </c>
      <c r="S318" s="414">
        <v>0</v>
      </c>
      <c r="T318" s="414">
        <v>1</v>
      </c>
      <c r="U318" s="414"/>
      <c r="V318" s="414">
        <v>0</v>
      </c>
      <c r="W318" s="414">
        <v>0</v>
      </c>
      <c r="X318" s="414">
        <v>0</v>
      </c>
      <c r="Y318" s="414">
        <v>1</v>
      </c>
      <c r="Z318" s="414"/>
    </row>
    <row r="319" spans="2:26" s="413" customFormat="1" ht="11.25" customHeight="1" x14ac:dyDescent="0.25">
      <c r="B319" s="431">
        <v>316</v>
      </c>
      <c r="C319" s="437" t="s">
        <v>1401</v>
      </c>
      <c r="D319" s="438" t="s">
        <v>1402</v>
      </c>
      <c r="E319" s="431"/>
      <c r="F319" s="512" t="s">
        <v>1327</v>
      </c>
      <c r="G319" s="439"/>
      <c r="H319" s="439"/>
      <c r="I319" s="440"/>
      <c r="J319" s="414"/>
      <c r="L319" s="414">
        <v>1</v>
      </c>
      <c r="M319" s="414"/>
      <c r="N319" s="414">
        <v>1</v>
      </c>
      <c r="O319" s="386">
        <f t="shared" si="5"/>
        <v>1</v>
      </c>
      <c r="P319" s="414">
        <v>0</v>
      </c>
      <c r="Q319" s="414">
        <v>0</v>
      </c>
      <c r="R319" s="414">
        <v>0</v>
      </c>
      <c r="S319" s="414">
        <v>0</v>
      </c>
      <c r="T319" s="414">
        <v>1</v>
      </c>
      <c r="U319" s="414"/>
      <c r="V319" s="414">
        <v>0</v>
      </c>
      <c r="W319" s="414">
        <v>0</v>
      </c>
      <c r="X319" s="414">
        <v>0</v>
      </c>
      <c r="Y319" s="414">
        <v>1</v>
      </c>
      <c r="Z319" s="414"/>
    </row>
    <row r="320" spans="2:26" s="413" customFormat="1" ht="11.25" customHeight="1" x14ac:dyDescent="0.25">
      <c r="B320" s="431">
        <v>317</v>
      </c>
      <c r="C320" s="437" t="s">
        <v>1403</v>
      </c>
      <c r="D320" s="438" t="s">
        <v>418</v>
      </c>
      <c r="E320" s="431" t="s">
        <v>1404</v>
      </c>
      <c r="F320" s="448" t="str">
        <f>'MT-ETUS'!M303&amp;" y "&amp;'MT-ETUS'!Q303</f>
        <v xml:space="preserve">- y </v>
      </c>
      <c r="G320" s="439"/>
      <c r="H320" s="439"/>
      <c r="I320" s="440"/>
      <c r="J320" s="414"/>
      <c r="L320" s="414">
        <v>4</v>
      </c>
      <c r="M320" s="414"/>
      <c r="N320" s="414"/>
      <c r="O320" s="386">
        <f t="shared" si="5"/>
        <v>1</v>
      </c>
      <c r="P320" s="414">
        <v>0</v>
      </c>
      <c r="Q320" s="414">
        <v>0</v>
      </c>
      <c r="R320" s="414">
        <v>1</v>
      </c>
      <c r="S320" s="414">
        <v>1</v>
      </c>
      <c r="T320" s="414">
        <v>1</v>
      </c>
      <c r="U320" s="414"/>
      <c r="V320" s="414">
        <v>0</v>
      </c>
      <c r="W320" s="414">
        <v>0</v>
      </c>
      <c r="X320" s="414">
        <v>0</v>
      </c>
      <c r="Y320" s="414">
        <v>0</v>
      </c>
      <c r="Z320" s="414"/>
    </row>
    <row r="321" spans="2:26" s="413" customFormat="1" ht="11.25" customHeight="1" x14ac:dyDescent="0.25">
      <c r="B321" s="431">
        <v>318</v>
      </c>
      <c r="C321" s="437" t="s">
        <v>1405</v>
      </c>
      <c r="D321" s="438" t="s">
        <v>419</v>
      </c>
      <c r="E321" s="431" t="s">
        <v>1406</v>
      </c>
      <c r="F321" s="448" t="str">
        <f>'MT-ETUS'!M304&amp;" y "&amp;'MT-ETUS'!Q304</f>
        <v xml:space="preserve">- y </v>
      </c>
      <c r="G321" s="439"/>
      <c r="H321" s="439"/>
      <c r="I321" s="440"/>
      <c r="J321" s="414"/>
      <c r="L321" s="414">
        <v>4</v>
      </c>
      <c r="M321" s="414"/>
      <c r="N321" s="414"/>
      <c r="O321" s="386">
        <f t="shared" si="5"/>
        <v>1</v>
      </c>
      <c r="P321" s="414">
        <v>0</v>
      </c>
      <c r="Q321" s="414">
        <v>0</v>
      </c>
      <c r="R321" s="414">
        <v>1</v>
      </c>
      <c r="S321" s="414">
        <v>1</v>
      </c>
      <c r="T321" s="414">
        <v>1</v>
      </c>
      <c r="U321" s="414"/>
      <c r="V321" s="414">
        <v>0</v>
      </c>
      <c r="W321" s="414">
        <v>0</v>
      </c>
      <c r="X321" s="414">
        <v>0</v>
      </c>
      <c r="Y321" s="414">
        <v>0</v>
      </c>
      <c r="Z321" s="414"/>
    </row>
    <row r="322" spans="2:26" s="413" customFormat="1" ht="11.25" customHeight="1" x14ac:dyDescent="0.25">
      <c r="B322" s="431">
        <v>319</v>
      </c>
      <c r="C322" s="437" t="s">
        <v>1407</v>
      </c>
      <c r="D322" s="438" t="s">
        <v>420</v>
      </c>
      <c r="E322" s="431" t="s">
        <v>1408</v>
      </c>
      <c r="F322" s="448" t="str">
        <f>'MT-ETUS'!M305&amp;" y "&amp;'MT-ETUS'!Q305</f>
        <v xml:space="preserve">- y </v>
      </c>
      <c r="G322" s="439"/>
      <c r="H322" s="439"/>
      <c r="I322" s="440"/>
      <c r="J322" s="414"/>
      <c r="L322" s="414">
        <v>4</v>
      </c>
      <c r="M322" s="414"/>
      <c r="N322" s="414"/>
      <c r="O322" s="386">
        <f t="shared" si="5"/>
        <v>1</v>
      </c>
      <c r="P322" s="414">
        <v>0</v>
      </c>
      <c r="Q322" s="414">
        <v>0</v>
      </c>
      <c r="R322" s="414">
        <v>1</v>
      </c>
      <c r="S322" s="414">
        <v>1</v>
      </c>
      <c r="T322" s="414">
        <v>1</v>
      </c>
      <c r="U322" s="414"/>
      <c r="V322" s="414">
        <v>0</v>
      </c>
      <c r="W322" s="414">
        <v>0</v>
      </c>
      <c r="X322" s="414">
        <v>0</v>
      </c>
      <c r="Y322" s="414">
        <v>0</v>
      </c>
      <c r="Z322" s="414"/>
    </row>
    <row r="323" spans="2:26" s="413" customFormat="1" ht="11.25" customHeight="1" x14ac:dyDescent="0.25">
      <c r="B323" s="431">
        <v>320</v>
      </c>
      <c r="C323" s="437" t="s">
        <v>1409</v>
      </c>
      <c r="D323" s="438" t="s">
        <v>421</v>
      </c>
      <c r="E323" s="431" t="s">
        <v>1410</v>
      </c>
      <c r="F323" s="448" t="str">
        <f>'MT-ETUS'!M306&amp;" y "&amp;'MT-ETUS'!Q306</f>
        <v xml:space="preserve">- y </v>
      </c>
      <c r="G323" s="439"/>
      <c r="H323" s="439"/>
      <c r="I323" s="440"/>
      <c r="J323" s="414"/>
      <c r="L323" s="414">
        <v>4</v>
      </c>
      <c r="M323" s="414"/>
      <c r="N323" s="414"/>
      <c r="O323" s="386">
        <f t="shared" si="5"/>
        <v>1</v>
      </c>
      <c r="P323" s="414">
        <v>0</v>
      </c>
      <c r="Q323" s="414">
        <v>0</v>
      </c>
      <c r="R323" s="414">
        <v>1</v>
      </c>
      <c r="S323" s="414">
        <v>1</v>
      </c>
      <c r="T323" s="414">
        <v>1</v>
      </c>
      <c r="U323" s="414"/>
      <c r="V323" s="414">
        <v>0</v>
      </c>
      <c r="W323" s="414">
        <v>0</v>
      </c>
      <c r="X323" s="414">
        <v>0</v>
      </c>
      <c r="Y323" s="414">
        <v>0</v>
      </c>
      <c r="Z323" s="414"/>
    </row>
    <row r="324" spans="2:26" s="413" customFormat="1" ht="11.25" customHeight="1" x14ac:dyDescent="0.25">
      <c r="B324" s="431">
        <v>321</v>
      </c>
      <c r="C324" s="437" t="s">
        <v>1411</v>
      </c>
      <c r="D324" s="438" t="s">
        <v>423</v>
      </c>
      <c r="E324" s="431" t="s">
        <v>1412</v>
      </c>
      <c r="F324" s="448" t="str">
        <f>'MT-ETUS'!M307&amp;" y "&amp;'MT-ETUS'!Q307</f>
        <v xml:space="preserve">- y </v>
      </c>
      <c r="G324" s="439"/>
      <c r="H324" s="439"/>
      <c r="I324" s="440"/>
      <c r="J324" s="414"/>
      <c r="L324" s="414">
        <v>4</v>
      </c>
      <c r="M324" s="414"/>
      <c r="N324" s="414"/>
      <c r="O324" s="386">
        <f t="shared" ref="O324:O387" si="6">IF(O$3=0,0,IF(O$3=1,P324,IF(O$3=2,Q324,IF(O$3=3,R324,IF(O$3=4,S324,IF(O$3=5,T324,IF(O$3=6,V324,IF(O$3=7,W324,IF(O$3=8,X324,IF(O$3=9,Y324,0))))))))))</f>
        <v>1</v>
      </c>
      <c r="P324" s="414">
        <v>0</v>
      </c>
      <c r="Q324" s="414">
        <v>0</v>
      </c>
      <c r="R324" s="414">
        <v>1</v>
      </c>
      <c r="S324" s="414">
        <v>1</v>
      </c>
      <c r="T324" s="414">
        <v>1</v>
      </c>
      <c r="U324" s="414"/>
      <c r="V324" s="414">
        <v>0</v>
      </c>
      <c r="W324" s="414">
        <v>0</v>
      </c>
      <c r="X324" s="414">
        <v>0</v>
      </c>
      <c r="Y324" s="414">
        <v>0</v>
      </c>
      <c r="Z324" s="414"/>
    </row>
    <row r="325" spans="2:26" s="413" customFormat="1" ht="11.25" customHeight="1" x14ac:dyDescent="0.25">
      <c r="B325" s="431">
        <v>322</v>
      </c>
      <c r="C325" s="437" t="s">
        <v>1413</v>
      </c>
      <c r="D325" s="438" t="s">
        <v>207</v>
      </c>
      <c r="E325" s="431" t="s">
        <v>1414</v>
      </c>
      <c r="F325" s="448" t="str">
        <f>'MT-ETUS'!M308&amp;" y "&amp;'MT-ETUS'!Q308</f>
        <v xml:space="preserve">- y </v>
      </c>
      <c r="G325" s="439"/>
      <c r="H325" s="439"/>
      <c r="I325" s="440"/>
      <c r="J325" s="414"/>
      <c r="L325" s="414">
        <v>5</v>
      </c>
      <c r="M325" s="414"/>
      <c r="N325" s="414"/>
      <c r="O325" s="386">
        <f t="shared" si="6"/>
        <v>1</v>
      </c>
      <c r="P325" s="414">
        <v>0</v>
      </c>
      <c r="Q325" s="414">
        <v>0</v>
      </c>
      <c r="R325" s="414">
        <v>1</v>
      </c>
      <c r="S325" s="414">
        <v>1</v>
      </c>
      <c r="T325" s="414">
        <v>1</v>
      </c>
      <c r="U325" s="414"/>
      <c r="V325" s="414">
        <v>0</v>
      </c>
      <c r="W325" s="414">
        <v>0</v>
      </c>
      <c r="X325" s="414">
        <v>0</v>
      </c>
      <c r="Y325" s="414">
        <v>0</v>
      </c>
      <c r="Z325" s="414"/>
    </row>
    <row r="326" spans="2:26" s="413" customFormat="1" ht="11.25" customHeight="1" x14ac:dyDescent="0.25">
      <c r="B326" s="431">
        <v>323</v>
      </c>
      <c r="C326" s="437" t="s">
        <v>1415</v>
      </c>
      <c r="D326" s="438" t="s">
        <v>206</v>
      </c>
      <c r="E326" s="431" t="s">
        <v>1416</v>
      </c>
      <c r="F326" s="448" t="str">
        <f>'MT-ETUS'!M309&amp;" y "&amp;'MT-ETUS'!Q309</f>
        <v xml:space="preserve">- y </v>
      </c>
      <c r="G326" s="439"/>
      <c r="H326" s="439"/>
      <c r="I326" s="440"/>
      <c r="J326" s="414"/>
      <c r="L326" s="414">
        <v>5</v>
      </c>
      <c r="M326" s="414"/>
      <c r="N326" s="414"/>
      <c r="O326" s="386">
        <f t="shared" si="6"/>
        <v>1</v>
      </c>
      <c r="P326" s="414">
        <v>0</v>
      </c>
      <c r="Q326" s="414">
        <v>0</v>
      </c>
      <c r="R326" s="414">
        <v>1</v>
      </c>
      <c r="S326" s="414">
        <v>1</v>
      </c>
      <c r="T326" s="414">
        <v>1</v>
      </c>
      <c r="U326" s="414"/>
      <c r="V326" s="414">
        <v>0</v>
      </c>
      <c r="W326" s="414">
        <v>0</v>
      </c>
      <c r="X326" s="414">
        <v>0</v>
      </c>
      <c r="Y326" s="414">
        <v>0</v>
      </c>
      <c r="Z326" s="414"/>
    </row>
    <row r="327" spans="2:26" s="413" customFormat="1" ht="11.25" customHeight="1" x14ac:dyDescent="0.25">
      <c r="B327" s="431">
        <v>324</v>
      </c>
      <c r="C327" s="437" t="s">
        <v>1417</v>
      </c>
      <c r="D327" s="438" t="s">
        <v>212</v>
      </c>
      <c r="E327" s="431" t="s">
        <v>1418</v>
      </c>
      <c r="F327" s="448" t="str">
        <f>'MT-ETUS'!M310&amp;" y "&amp;'MT-ETUS'!Q310</f>
        <v xml:space="preserve">- y </v>
      </c>
      <c r="G327" s="439"/>
      <c r="H327" s="439"/>
      <c r="I327" s="440"/>
      <c r="J327" s="414"/>
      <c r="L327" s="414">
        <v>4</v>
      </c>
      <c r="M327" s="414"/>
      <c r="N327" s="414"/>
      <c r="O327" s="386">
        <f t="shared" si="6"/>
        <v>1</v>
      </c>
      <c r="P327" s="414">
        <v>0</v>
      </c>
      <c r="Q327" s="414">
        <v>0</v>
      </c>
      <c r="R327" s="414">
        <v>1</v>
      </c>
      <c r="S327" s="414">
        <v>1</v>
      </c>
      <c r="T327" s="414">
        <v>1</v>
      </c>
      <c r="U327" s="414"/>
      <c r="V327" s="414">
        <v>0</v>
      </c>
      <c r="W327" s="414">
        <v>0</v>
      </c>
      <c r="X327" s="414">
        <v>0</v>
      </c>
      <c r="Y327" s="414">
        <v>0</v>
      </c>
      <c r="Z327" s="414"/>
    </row>
    <row r="328" spans="2:26" s="413" customFormat="1" ht="11.25" customHeight="1" x14ac:dyDescent="0.25">
      <c r="B328" s="431">
        <v>325</v>
      </c>
      <c r="C328" s="449" t="s">
        <v>1419</v>
      </c>
      <c r="D328" s="459" t="s">
        <v>426</v>
      </c>
      <c r="E328" s="460" t="s">
        <v>1200</v>
      </c>
      <c r="F328" s="448" t="str">
        <f>'MT-ETUS'!M311&amp;" "&amp;'MT-ETUS'!N311&amp;" y "&amp;'MT-ETUS'!Q311&amp;" "&amp;'MT-ETUS'!R311&amp;" y "&amp;'MT-ETUS'!U311&amp;" "&amp;'MT-ETUS'!V311</f>
        <v xml:space="preserve">- Manómetro y - Termóm depósito y - </v>
      </c>
      <c r="G328" s="439"/>
      <c r="H328" s="439"/>
      <c r="I328" s="440"/>
      <c r="J328" s="414"/>
      <c r="L328" s="414">
        <v>5</v>
      </c>
      <c r="M328" s="414"/>
      <c r="N328" s="414"/>
      <c r="O328" s="386">
        <f t="shared" si="6"/>
        <v>1</v>
      </c>
      <c r="P328" s="414">
        <v>0</v>
      </c>
      <c r="Q328" s="414">
        <v>0</v>
      </c>
      <c r="R328" s="414">
        <v>1</v>
      </c>
      <c r="S328" s="414">
        <v>1</v>
      </c>
      <c r="T328" s="414">
        <v>1</v>
      </c>
      <c r="U328" s="414"/>
      <c r="V328" s="414">
        <v>0</v>
      </c>
      <c r="W328" s="414">
        <v>0</v>
      </c>
      <c r="X328" s="414">
        <v>0</v>
      </c>
      <c r="Y328" s="414">
        <v>0</v>
      </c>
      <c r="Z328" s="414"/>
    </row>
    <row r="329" spans="2:26" s="413" customFormat="1" ht="11.25" customHeight="1" x14ac:dyDescent="0.25">
      <c r="B329" s="431">
        <v>326</v>
      </c>
      <c r="C329" s="437" t="s">
        <v>1420</v>
      </c>
      <c r="D329" s="438" t="s">
        <v>213</v>
      </c>
      <c r="E329" s="431" t="s">
        <v>1421</v>
      </c>
      <c r="F329" s="448" t="str">
        <f>'MT-ETUS'!M312&amp;" y "&amp;'MT-ETUS'!P312</f>
        <v xml:space="preserve">- y </v>
      </c>
      <c r="G329" s="439"/>
      <c r="H329" s="439"/>
      <c r="I329" s="440"/>
      <c r="J329" s="414"/>
      <c r="L329" s="414">
        <v>4</v>
      </c>
      <c r="M329" s="414"/>
      <c r="N329" s="414"/>
      <c r="O329" s="386">
        <f t="shared" si="6"/>
        <v>1</v>
      </c>
      <c r="P329" s="414">
        <v>0</v>
      </c>
      <c r="Q329" s="414">
        <v>0</v>
      </c>
      <c r="R329" s="414">
        <v>1</v>
      </c>
      <c r="S329" s="414">
        <v>1</v>
      </c>
      <c r="T329" s="414">
        <v>1</v>
      </c>
      <c r="U329" s="414"/>
      <c r="V329" s="414">
        <v>0</v>
      </c>
      <c r="W329" s="414">
        <v>0</v>
      </c>
      <c r="X329" s="414">
        <v>0</v>
      </c>
      <c r="Y329" s="414">
        <v>0</v>
      </c>
      <c r="Z329" s="414"/>
    </row>
    <row r="330" spans="2:26" s="413" customFormat="1" ht="11.25" customHeight="1" x14ac:dyDescent="0.25">
      <c r="B330" s="431">
        <v>327</v>
      </c>
      <c r="C330" s="437" t="s">
        <v>1422</v>
      </c>
      <c r="D330" s="438" t="s">
        <v>1423</v>
      </c>
      <c r="E330" s="431" t="s">
        <v>1424</v>
      </c>
      <c r="F330" s="448" t="str">
        <f>'MT-ETUS'!M247&amp;" en pri y en sec "&amp;'MT-ETUS'!R247</f>
        <v xml:space="preserve"> en pri y en sec </v>
      </c>
      <c r="G330" s="439"/>
      <c r="H330" s="439"/>
      <c r="I330" s="440"/>
      <c r="J330" s="414"/>
      <c r="L330" s="414">
        <v>5</v>
      </c>
      <c r="M330" s="414"/>
      <c r="N330" s="414"/>
      <c r="O330" s="386">
        <f t="shared" si="6"/>
        <v>1</v>
      </c>
      <c r="P330" s="414">
        <v>0</v>
      </c>
      <c r="Q330" s="414">
        <v>1</v>
      </c>
      <c r="R330" s="414">
        <v>1</v>
      </c>
      <c r="S330" s="414">
        <v>1</v>
      </c>
      <c r="T330" s="414">
        <v>1</v>
      </c>
      <c r="U330" s="414"/>
      <c r="V330" s="414">
        <v>1</v>
      </c>
      <c r="W330" s="414">
        <v>1</v>
      </c>
      <c r="X330" s="414">
        <v>1</v>
      </c>
      <c r="Y330" s="414">
        <v>1</v>
      </c>
      <c r="Z330" s="414"/>
    </row>
    <row r="331" spans="2:26" s="413" customFormat="1" ht="11.25" customHeight="1" x14ac:dyDescent="0.25">
      <c r="B331" s="431">
        <v>328</v>
      </c>
      <c r="C331" s="437" t="s">
        <v>1422</v>
      </c>
      <c r="D331" s="438" t="s">
        <v>1425</v>
      </c>
      <c r="E331" s="431" t="s">
        <v>1426</v>
      </c>
      <c r="F331" s="448" t="str">
        <f>'MT-ETUS'!M251&amp;" en pri y  en sec "&amp;'MT-ETUS'!R251</f>
        <v xml:space="preserve"> en pri y  en sec </v>
      </c>
      <c r="G331" s="439"/>
      <c r="H331" s="439"/>
      <c r="I331" s="440"/>
      <c r="J331" s="414"/>
      <c r="L331" s="414">
        <v>4</v>
      </c>
      <c r="M331" s="414"/>
      <c r="N331" s="414"/>
      <c r="O331" s="386">
        <f t="shared" si="6"/>
        <v>1</v>
      </c>
      <c r="P331" s="414">
        <v>0</v>
      </c>
      <c r="Q331" s="414">
        <v>1</v>
      </c>
      <c r="R331" s="414">
        <v>1</v>
      </c>
      <c r="S331" s="414">
        <v>1</v>
      </c>
      <c r="T331" s="414">
        <v>1</v>
      </c>
      <c r="U331" s="414"/>
      <c r="V331" s="414">
        <v>1</v>
      </c>
      <c r="W331" s="414">
        <v>1</v>
      </c>
      <c r="X331" s="414">
        <v>1</v>
      </c>
      <c r="Y331" s="414">
        <v>1</v>
      </c>
      <c r="Z331" s="414"/>
    </row>
    <row r="332" spans="2:26" s="413" customFormat="1" ht="11.25" customHeight="1" x14ac:dyDescent="0.25">
      <c r="B332" s="431">
        <v>329</v>
      </c>
      <c r="C332" s="437" t="s">
        <v>1427</v>
      </c>
      <c r="D332" s="459" t="s">
        <v>1428</v>
      </c>
      <c r="E332" s="431"/>
      <c r="F332" s="512" t="s">
        <v>1327</v>
      </c>
      <c r="G332" s="439"/>
      <c r="H332" s="439"/>
      <c r="I332" s="440"/>
      <c r="J332" s="414"/>
      <c r="L332" s="414">
        <v>1</v>
      </c>
      <c r="M332" s="414"/>
      <c r="N332" s="414">
        <v>1</v>
      </c>
      <c r="O332" s="386">
        <f t="shared" si="6"/>
        <v>1</v>
      </c>
      <c r="P332" s="414">
        <v>0</v>
      </c>
      <c r="Q332" s="414">
        <v>0</v>
      </c>
      <c r="R332" s="414">
        <v>0</v>
      </c>
      <c r="S332" s="414">
        <v>0</v>
      </c>
      <c r="T332" s="414">
        <v>1</v>
      </c>
      <c r="U332" s="414"/>
      <c r="V332" s="414">
        <v>0</v>
      </c>
      <c r="W332" s="414">
        <v>0</v>
      </c>
      <c r="X332" s="414">
        <v>0</v>
      </c>
      <c r="Y332" s="414">
        <v>1</v>
      </c>
      <c r="Z332" s="414"/>
    </row>
    <row r="333" spans="2:26" s="413" customFormat="1" ht="11.25" customHeight="1" x14ac:dyDescent="0.25">
      <c r="B333" s="431">
        <v>330</v>
      </c>
      <c r="C333" s="437" t="s">
        <v>1429</v>
      </c>
      <c r="D333" s="438" t="s">
        <v>111</v>
      </c>
      <c r="E333" s="431" t="s">
        <v>1430</v>
      </c>
      <c r="F333" s="448" t="str">
        <f>'MT-ETUS'!M250&amp;" en pri y en sec "&amp;'MT-ETUS'!R250</f>
        <v xml:space="preserve"> en pri y en sec </v>
      </c>
      <c r="G333" s="439"/>
      <c r="H333" s="439"/>
      <c r="I333" s="440"/>
      <c r="J333" s="414"/>
      <c r="L333" s="414">
        <v>5</v>
      </c>
      <c r="M333" s="414"/>
      <c r="N333" s="414">
        <v>1</v>
      </c>
      <c r="O333" s="386">
        <f t="shared" si="6"/>
        <v>1</v>
      </c>
      <c r="P333" s="414">
        <v>0</v>
      </c>
      <c r="Q333" s="414">
        <v>1</v>
      </c>
      <c r="R333" s="414">
        <v>1</v>
      </c>
      <c r="S333" s="414">
        <v>1</v>
      </c>
      <c r="T333" s="414">
        <v>1</v>
      </c>
      <c r="U333" s="414"/>
      <c r="V333" s="414">
        <v>1</v>
      </c>
      <c r="W333" s="414">
        <v>1</v>
      </c>
      <c r="X333" s="414">
        <v>1</v>
      </c>
      <c r="Y333" s="414">
        <v>1</v>
      </c>
      <c r="Z333" s="414"/>
    </row>
    <row r="334" spans="2:26" s="413" customFormat="1" ht="11.25" customHeight="1" x14ac:dyDescent="0.25">
      <c r="B334" s="431">
        <v>331</v>
      </c>
      <c r="C334" s="437" t="s">
        <v>1429</v>
      </c>
      <c r="D334" s="438" t="s">
        <v>110</v>
      </c>
      <c r="E334" s="431" t="s">
        <v>1431</v>
      </c>
      <c r="F334" s="448" t="str">
        <f>'MT-ETUS'!M254&amp;" en pri y en sec "&amp;'MT-ETUS'!R254</f>
        <v xml:space="preserve"> en pri y en sec </v>
      </c>
      <c r="G334" s="439"/>
      <c r="H334" s="439"/>
      <c r="I334" s="440"/>
      <c r="J334" s="414"/>
      <c r="L334" s="414">
        <v>4</v>
      </c>
      <c r="M334" s="414"/>
      <c r="N334" s="414">
        <v>1</v>
      </c>
      <c r="O334" s="386">
        <f t="shared" si="6"/>
        <v>1</v>
      </c>
      <c r="P334" s="414">
        <v>0</v>
      </c>
      <c r="Q334" s="414">
        <v>1</v>
      </c>
      <c r="R334" s="414">
        <v>1</v>
      </c>
      <c r="S334" s="414">
        <v>1</v>
      </c>
      <c r="T334" s="414">
        <v>1</v>
      </c>
      <c r="U334" s="414"/>
      <c r="V334" s="414">
        <v>1</v>
      </c>
      <c r="W334" s="414">
        <v>1</v>
      </c>
      <c r="X334" s="414">
        <v>1</v>
      </c>
      <c r="Y334" s="414">
        <v>1</v>
      </c>
      <c r="Z334" s="414"/>
    </row>
    <row r="335" spans="2:26" s="413" customFormat="1" ht="11.25" customHeight="1" x14ac:dyDescent="0.25">
      <c r="B335" s="431">
        <v>332</v>
      </c>
      <c r="C335" s="437" t="s">
        <v>1432</v>
      </c>
      <c r="D335" s="438" t="s">
        <v>1720</v>
      </c>
      <c r="E335" s="431" t="s">
        <v>1727</v>
      </c>
      <c r="F335" s="513" t="s">
        <v>1718</v>
      </c>
      <c r="G335" s="439"/>
      <c r="H335" s="439"/>
      <c r="I335" s="440"/>
      <c r="J335" s="414"/>
      <c r="K335" s="413" t="s">
        <v>1719</v>
      </c>
      <c r="L335" s="414">
        <v>4</v>
      </c>
      <c r="M335" s="414"/>
      <c r="N335" s="414"/>
      <c r="O335" s="386">
        <f t="shared" si="6"/>
        <v>1</v>
      </c>
      <c r="P335" s="414">
        <v>0</v>
      </c>
      <c r="Q335" s="414">
        <v>0</v>
      </c>
      <c r="R335" s="414">
        <v>1</v>
      </c>
      <c r="S335" s="414">
        <v>1</v>
      </c>
      <c r="T335" s="414">
        <v>1</v>
      </c>
      <c r="U335" s="414"/>
      <c r="V335" s="414">
        <v>0</v>
      </c>
      <c r="W335" s="414">
        <v>1</v>
      </c>
      <c r="X335" s="414">
        <v>1</v>
      </c>
      <c r="Y335" s="414">
        <v>1</v>
      </c>
      <c r="Z335" s="414"/>
    </row>
    <row r="336" spans="2:26" s="413" customFormat="1" ht="11.25" customHeight="1" x14ac:dyDescent="0.25">
      <c r="B336" s="431">
        <v>333</v>
      </c>
      <c r="C336" s="437" t="s">
        <v>1433</v>
      </c>
      <c r="D336" s="438" t="s">
        <v>1434</v>
      </c>
      <c r="E336" s="431" t="s">
        <v>1435</v>
      </c>
      <c r="F336" s="448" t="str">
        <f>'MT-ETUS'!M255&amp;" y "&amp;'MT-ETUS'!R255</f>
        <v xml:space="preserve">- y </v>
      </c>
      <c r="G336" s="439"/>
      <c r="H336" s="439"/>
      <c r="I336" s="440"/>
      <c r="J336" s="414"/>
      <c r="L336" s="414">
        <v>4</v>
      </c>
      <c r="M336" s="414"/>
      <c r="N336" s="414"/>
      <c r="O336" s="386">
        <f t="shared" si="6"/>
        <v>1</v>
      </c>
      <c r="P336" s="414">
        <v>0</v>
      </c>
      <c r="Q336" s="414">
        <v>0</v>
      </c>
      <c r="R336" s="414">
        <v>1</v>
      </c>
      <c r="S336" s="414">
        <v>1</v>
      </c>
      <c r="T336" s="414">
        <v>1</v>
      </c>
      <c r="U336" s="414"/>
      <c r="V336" s="414">
        <v>0</v>
      </c>
      <c r="W336" s="414">
        <v>1</v>
      </c>
      <c r="X336" s="414">
        <v>1</v>
      </c>
      <c r="Y336" s="414">
        <v>1</v>
      </c>
      <c r="Z336" s="414"/>
    </row>
    <row r="337" spans="2:26" s="413" customFormat="1" ht="11.25" customHeight="1" x14ac:dyDescent="0.25">
      <c r="B337" s="431">
        <v>334</v>
      </c>
      <c r="C337" s="437" t="s">
        <v>1436</v>
      </c>
      <c r="D337" s="438" t="s">
        <v>1437</v>
      </c>
      <c r="E337" s="431" t="s">
        <v>1438</v>
      </c>
      <c r="F337" s="448" t="str">
        <f>'MT-ETUS'!M248&amp;" en pri y en sec "&amp;'MT-ETUS'!R248</f>
        <v xml:space="preserve"> en pri y en sec </v>
      </c>
      <c r="G337" s="439"/>
      <c r="H337" s="439"/>
      <c r="I337" s="440"/>
      <c r="J337" s="414"/>
      <c r="L337" s="414">
        <v>5</v>
      </c>
      <c r="M337" s="414"/>
      <c r="N337" s="414"/>
      <c r="O337" s="386">
        <f t="shared" si="6"/>
        <v>1</v>
      </c>
      <c r="P337" s="414">
        <v>0</v>
      </c>
      <c r="Q337" s="414">
        <v>1</v>
      </c>
      <c r="R337" s="414">
        <v>1</v>
      </c>
      <c r="S337" s="414">
        <v>1</v>
      </c>
      <c r="T337" s="414">
        <v>1</v>
      </c>
      <c r="U337" s="414"/>
      <c r="V337" s="414">
        <v>1</v>
      </c>
      <c r="W337" s="414">
        <v>1</v>
      </c>
      <c r="X337" s="414">
        <v>1</v>
      </c>
      <c r="Y337" s="414">
        <v>1</v>
      </c>
      <c r="Z337" s="414"/>
    </row>
    <row r="338" spans="2:26" s="413" customFormat="1" ht="11.25" customHeight="1" x14ac:dyDescent="0.25">
      <c r="B338" s="431">
        <v>335</v>
      </c>
      <c r="C338" s="437" t="s">
        <v>1436</v>
      </c>
      <c r="D338" s="438" t="s">
        <v>1439</v>
      </c>
      <c r="E338" s="431" t="s">
        <v>1440</v>
      </c>
      <c r="F338" s="448" t="str">
        <f>'MT-ETUS'!M249&amp;" en pri y en sec "&amp;'MT-ETUS'!R249</f>
        <v xml:space="preserve"> en pri y en sec </v>
      </c>
      <c r="G338" s="439"/>
      <c r="H338" s="439"/>
      <c r="I338" s="440"/>
      <c r="J338" s="414"/>
      <c r="L338" s="414">
        <v>5</v>
      </c>
      <c r="M338" s="414"/>
      <c r="N338" s="414">
        <v>1</v>
      </c>
      <c r="O338" s="386">
        <f t="shared" si="6"/>
        <v>1</v>
      </c>
      <c r="P338" s="414">
        <v>0</v>
      </c>
      <c r="Q338" s="414">
        <v>1</v>
      </c>
      <c r="R338" s="414">
        <v>1</v>
      </c>
      <c r="S338" s="414">
        <v>1</v>
      </c>
      <c r="T338" s="414">
        <v>1</v>
      </c>
      <c r="U338" s="414"/>
      <c r="V338" s="414">
        <v>1</v>
      </c>
      <c r="W338" s="414">
        <v>1</v>
      </c>
      <c r="X338" s="414">
        <v>1</v>
      </c>
      <c r="Y338" s="414">
        <v>1</v>
      </c>
      <c r="Z338" s="414"/>
    </row>
    <row r="339" spans="2:26" s="413" customFormat="1" ht="11.25" customHeight="1" x14ac:dyDescent="0.25">
      <c r="B339" s="431">
        <v>336</v>
      </c>
      <c r="C339" s="437" t="s">
        <v>1436</v>
      </c>
      <c r="D339" s="438" t="s">
        <v>1441</v>
      </c>
      <c r="E339" s="431" t="s">
        <v>1727</v>
      </c>
      <c r="F339" s="512" t="s">
        <v>1729</v>
      </c>
      <c r="G339" s="439"/>
      <c r="H339" s="439"/>
      <c r="I339" s="440"/>
      <c r="J339" s="414"/>
      <c r="L339" s="414">
        <v>2</v>
      </c>
      <c r="M339" s="414"/>
      <c r="N339" s="414">
        <v>1</v>
      </c>
      <c r="O339" s="386">
        <f t="shared" si="6"/>
        <v>1</v>
      </c>
      <c r="P339" s="414">
        <v>0</v>
      </c>
      <c r="Q339" s="414">
        <v>1</v>
      </c>
      <c r="R339" s="414">
        <v>1</v>
      </c>
      <c r="S339" s="414">
        <v>1</v>
      </c>
      <c r="T339" s="414">
        <v>1</v>
      </c>
      <c r="U339" s="414"/>
      <c r="V339" s="414">
        <v>1</v>
      </c>
      <c r="W339" s="414">
        <v>1</v>
      </c>
      <c r="X339" s="414">
        <v>1</v>
      </c>
      <c r="Y339" s="414">
        <v>1</v>
      </c>
      <c r="Z339" s="414"/>
    </row>
    <row r="340" spans="2:26" s="413" customFormat="1" ht="11.25" customHeight="1" x14ac:dyDescent="0.25">
      <c r="B340" s="431">
        <v>337</v>
      </c>
      <c r="C340" s="437" t="s">
        <v>1436</v>
      </c>
      <c r="D340" s="438" t="s">
        <v>1442</v>
      </c>
      <c r="E340" s="431" t="s">
        <v>1727</v>
      </c>
      <c r="F340" s="512" t="s">
        <v>1729</v>
      </c>
      <c r="G340" s="439"/>
      <c r="H340" s="439"/>
      <c r="I340" s="440"/>
      <c r="J340" s="414"/>
      <c r="L340" s="414">
        <v>2</v>
      </c>
      <c r="M340" s="414"/>
      <c r="N340" s="414">
        <v>1</v>
      </c>
      <c r="O340" s="386">
        <f t="shared" si="6"/>
        <v>1</v>
      </c>
      <c r="P340" s="414">
        <v>0</v>
      </c>
      <c r="Q340" s="414">
        <v>1</v>
      </c>
      <c r="R340" s="414">
        <v>1</v>
      </c>
      <c r="S340" s="414">
        <v>1</v>
      </c>
      <c r="T340" s="414">
        <v>1</v>
      </c>
      <c r="U340" s="414"/>
      <c r="V340" s="414">
        <v>1</v>
      </c>
      <c r="W340" s="414">
        <v>1</v>
      </c>
      <c r="X340" s="414">
        <v>1</v>
      </c>
      <c r="Y340" s="414">
        <v>1</v>
      </c>
      <c r="Z340" s="414"/>
    </row>
    <row r="341" spans="2:26" s="413" customFormat="1" ht="11.25" customHeight="1" x14ac:dyDescent="0.25">
      <c r="B341" s="431">
        <v>338</v>
      </c>
      <c r="C341" s="437" t="s">
        <v>1436</v>
      </c>
      <c r="D341" s="438" t="s">
        <v>1443</v>
      </c>
      <c r="E341" s="431" t="s">
        <v>1444</v>
      </c>
      <c r="F341" s="448" t="str">
        <f>'MT-ETUS'!M252&amp;" en pri y en sec "&amp;'MT-ETUS'!R252</f>
        <v xml:space="preserve"> en pri y en sec </v>
      </c>
      <c r="G341" s="439"/>
      <c r="H341" s="439"/>
      <c r="I341" s="440"/>
      <c r="J341" s="414"/>
      <c r="L341" s="414">
        <v>4</v>
      </c>
      <c r="M341" s="414"/>
      <c r="N341" s="414"/>
      <c r="O341" s="386">
        <f t="shared" si="6"/>
        <v>1</v>
      </c>
      <c r="P341" s="414">
        <v>0</v>
      </c>
      <c r="Q341" s="414">
        <v>1</v>
      </c>
      <c r="R341" s="414">
        <v>1</v>
      </c>
      <c r="S341" s="414">
        <v>1</v>
      </c>
      <c r="T341" s="414">
        <v>1</v>
      </c>
      <c r="U341" s="414"/>
      <c r="V341" s="414">
        <v>1</v>
      </c>
      <c r="W341" s="414">
        <v>1</v>
      </c>
      <c r="X341" s="414">
        <v>1</v>
      </c>
      <c r="Y341" s="414">
        <v>1</v>
      </c>
      <c r="Z341" s="414"/>
    </row>
    <row r="342" spans="2:26" s="413" customFormat="1" ht="11.25" customHeight="1" x14ac:dyDescent="0.25">
      <c r="B342" s="431">
        <v>339</v>
      </c>
      <c r="C342" s="437" t="s">
        <v>1436</v>
      </c>
      <c r="D342" s="438" t="s">
        <v>1445</v>
      </c>
      <c r="E342" s="431" t="s">
        <v>1446</v>
      </c>
      <c r="F342" s="448" t="str">
        <f>'MT-ETUS'!M253&amp;" en pri y en sec "&amp;'MT-ETUS'!R253</f>
        <v xml:space="preserve"> en pri y en sec </v>
      </c>
      <c r="G342" s="439"/>
      <c r="H342" s="439"/>
      <c r="I342" s="440"/>
      <c r="J342" s="414"/>
      <c r="L342" s="414">
        <v>4</v>
      </c>
      <c r="M342" s="414"/>
      <c r="N342" s="414">
        <v>1</v>
      </c>
      <c r="O342" s="386">
        <f t="shared" si="6"/>
        <v>1</v>
      </c>
      <c r="P342" s="414">
        <v>0</v>
      </c>
      <c r="Q342" s="414">
        <v>1</v>
      </c>
      <c r="R342" s="414">
        <v>1</v>
      </c>
      <c r="S342" s="414">
        <v>1</v>
      </c>
      <c r="T342" s="414">
        <v>1</v>
      </c>
      <c r="U342" s="414"/>
      <c r="V342" s="414">
        <v>1</v>
      </c>
      <c r="W342" s="414">
        <v>1</v>
      </c>
      <c r="X342" s="414">
        <v>1</v>
      </c>
      <c r="Y342" s="414">
        <v>1</v>
      </c>
      <c r="Z342" s="414"/>
    </row>
    <row r="343" spans="2:26" s="413" customFormat="1" ht="11.25" customHeight="1" x14ac:dyDescent="0.25">
      <c r="B343" s="431">
        <v>340</v>
      </c>
      <c r="C343" s="437" t="s">
        <v>1436</v>
      </c>
      <c r="D343" s="438" t="s">
        <v>1447</v>
      </c>
      <c r="E343" s="431" t="s">
        <v>1727</v>
      </c>
      <c r="F343" s="512" t="s">
        <v>1729</v>
      </c>
      <c r="G343" s="439"/>
      <c r="H343" s="439"/>
      <c r="I343" s="440"/>
      <c r="J343" s="414"/>
      <c r="L343" s="414">
        <v>2</v>
      </c>
      <c r="M343" s="414"/>
      <c r="N343" s="414">
        <v>1</v>
      </c>
      <c r="O343" s="386">
        <f t="shared" si="6"/>
        <v>1</v>
      </c>
      <c r="P343" s="414">
        <v>0</v>
      </c>
      <c r="Q343" s="414">
        <v>1</v>
      </c>
      <c r="R343" s="414">
        <v>1</v>
      </c>
      <c r="S343" s="414">
        <v>1</v>
      </c>
      <c r="T343" s="414">
        <v>1</v>
      </c>
      <c r="U343" s="414"/>
      <c r="V343" s="414">
        <v>1</v>
      </c>
      <c r="W343" s="414">
        <v>1</v>
      </c>
      <c r="X343" s="414">
        <v>1</v>
      </c>
      <c r="Y343" s="414">
        <v>1</v>
      </c>
      <c r="Z343" s="414"/>
    </row>
    <row r="344" spans="2:26" s="413" customFormat="1" ht="11.25" customHeight="1" x14ac:dyDescent="0.25">
      <c r="B344" s="431">
        <v>341</v>
      </c>
      <c r="C344" s="437" t="s">
        <v>1436</v>
      </c>
      <c r="D344" s="438" t="s">
        <v>1448</v>
      </c>
      <c r="E344" s="431" t="s">
        <v>1727</v>
      </c>
      <c r="F344" s="512" t="s">
        <v>1729</v>
      </c>
      <c r="G344" s="439"/>
      <c r="H344" s="439"/>
      <c r="I344" s="440"/>
      <c r="J344" s="414"/>
      <c r="L344" s="414">
        <v>2</v>
      </c>
      <c r="M344" s="414"/>
      <c r="N344" s="414">
        <v>1</v>
      </c>
      <c r="O344" s="386">
        <f t="shared" si="6"/>
        <v>1</v>
      </c>
      <c r="P344" s="414">
        <v>0</v>
      </c>
      <c r="Q344" s="414">
        <v>1</v>
      </c>
      <c r="R344" s="414">
        <v>1</v>
      </c>
      <c r="S344" s="414">
        <v>1</v>
      </c>
      <c r="T344" s="414">
        <v>1</v>
      </c>
      <c r="U344" s="414"/>
      <c r="V344" s="414">
        <v>1</v>
      </c>
      <c r="W344" s="414">
        <v>1</v>
      </c>
      <c r="X344" s="414">
        <v>1</v>
      </c>
      <c r="Y344" s="414">
        <v>1</v>
      </c>
      <c r="Z344" s="414"/>
    </row>
    <row r="345" spans="2:26" s="413" customFormat="1" ht="11.25" customHeight="1" x14ac:dyDescent="0.25">
      <c r="B345" s="431">
        <v>342</v>
      </c>
      <c r="C345" s="437" t="s">
        <v>1449</v>
      </c>
      <c r="D345" s="438" t="s">
        <v>522</v>
      </c>
      <c r="E345" s="431" t="s">
        <v>1450</v>
      </c>
      <c r="F345" s="514" t="s">
        <v>1327</v>
      </c>
      <c r="G345" s="439"/>
      <c r="H345" s="439"/>
      <c r="I345" s="440"/>
      <c r="J345" s="414"/>
      <c r="L345" s="414">
        <v>2</v>
      </c>
      <c r="M345" s="414"/>
      <c r="N345" s="414">
        <v>1</v>
      </c>
      <c r="O345" s="386">
        <f t="shared" si="6"/>
        <v>1</v>
      </c>
      <c r="P345" s="414">
        <v>0</v>
      </c>
      <c r="Q345" s="414">
        <v>0</v>
      </c>
      <c r="R345" s="414">
        <v>0</v>
      </c>
      <c r="S345" s="414">
        <v>0</v>
      </c>
      <c r="T345" s="414">
        <v>1</v>
      </c>
      <c r="U345" s="414"/>
      <c r="V345" s="414">
        <v>0</v>
      </c>
      <c r="W345" s="414">
        <v>0</v>
      </c>
      <c r="X345" s="414">
        <v>0</v>
      </c>
      <c r="Y345" s="414">
        <v>1</v>
      </c>
      <c r="Z345" s="414"/>
    </row>
    <row r="346" spans="2:26" s="413" customFormat="1" ht="11.25" customHeight="1" x14ac:dyDescent="0.25">
      <c r="B346" s="431">
        <v>343</v>
      </c>
      <c r="C346" s="437" t="s">
        <v>1449</v>
      </c>
      <c r="D346" s="438" t="s">
        <v>525</v>
      </c>
      <c r="E346" s="431" t="s">
        <v>1451</v>
      </c>
      <c r="F346" s="448">
        <f>'MT-ETUS'!M195</f>
        <v>0</v>
      </c>
      <c r="G346" s="439"/>
      <c r="H346" s="439"/>
      <c r="I346" s="440"/>
      <c r="J346" s="414"/>
      <c r="L346" s="414">
        <v>5</v>
      </c>
      <c r="M346" s="414"/>
      <c r="N346" s="414"/>
      <c r="O346" s="386">
        <f t="shared" si="6"/>
        <v>1</v>
      </c>
      <c r="P346" s="414">
        <v>0</v>
      </c>
      <c r="Q346" s="414">
        <v>0</v>
      </c>
      <c r="R346" s="414">
        <v>1</v>
      </c>
      <c r="S346" s="414">
        <v>1</v>
      </c>
      <c r="T346" s="414">
        <v>1</v>
      </c>
      <c r="U346" s="414"/>
      <c r="V346" s="414">
        <v>0</v>
      </c>
      <c r="W346" s="414">
        <v>0</v>
      </c>
      <c r="X346" s="414">
        <v>0</v>
      </c>
      <c r="Y346" s="414">
        <v>0</v>
      </c>
      <c r="Z346" s="414"/>
    </row>
    <row r="347" spans="2:26" s="413" customFormat="1" ht="11.25" customHeight="1" x14ac:dyDescent="0.25">
      <c r="B347" s="431">
        <v>344</v>
      </c>
      <c r="C347" s="437" t="s">
        <v>1449</v>
      </c>
      <c r="D347" s="438" t="s">
        <v>1452</v>
      </c>
      <c r="E347" s="431" t="s">
        <v>1453</v>
      </c>
      <c r="F347" s="448">
        <f>'MT-ETUS'!M196</f>
        <v>0</v>
      </c>
      <c r="G347" s="439"/>
      <c r="H347" s="439"/>
      <c r="I347" s="440"/>
      <c r="J347" s="414"/>
      <c r="L347" s="414">
        <v>5</v>
      </c>
      <c r="M347" s="414"/>
      <c r="N347" s="414"/>
      <c r="O347" s="386">
        <f t="shared" si="6"/>
        <v>1</v>
      </c>
      <c r="P347" s="414">
        <v>0</v>
      </c>
      <c r="Q347" s="414">
        <v>0</v>
      </c>
      <c r="R347" s="414">
        <v>1</v>
      </c>
      <c r="S347" s="414">
        <v>1</v>
      </c>
      <c r="T347" s="414">
        <v>1</v>
      </c>
      <c r="U347" s="414"/>
      <c r="V347" s="414">
        <v>0</v>
      </c>
      <c r="W347" s="414">
        <v>0</v>
      </c>
      <c r="X347" s="414">
        <v>0</v>
      </c>
      <c r="Y347" s="414">
        <v>0</v>
      </c>
      <c r="Z347" s="414"/>
    </row>
    <row r="348" spans="2:26" s="413" customFormat="1" ht="11.25" customHeight="1" x14ac:dyDescent="0.25">
      <c r="B348" s="431">
        <v>345</v>
      </c>
      <c r="C348" s="437" t="s">
        <v>1449</v>
      </c>
      <c r="D348" s="438" t="s">
        <v>526</v>
      </c>
      <c r="E348" s="431" t="s">
        <v>1454</v>
      </c>
      <c r="F348" s="448" t="str">
        <f>'MT-ETUS'!M197&amp;" mm. y "&amp;'MT-ETUS'!R197&amp;" cumple ≥ 50mm"</f>
        <v xml:space="preserve"> mm. y - cumple ≥ 50mm</v>
      </c>
      <c r="G348" s="439"/>
      <c r="H348" s="439"/>
      <c r="I348" s="440"/>
      <c r="J348" s="414"/>
      <c r="L348" s="414">
        <v>5</v>
      </c>
      <c r="M348" s="414"/>
      <c r="N348" s="414">
        <v>1</v>
      </c>
      <c r="O348" s="386">
        <f t="shared" si="6"/>
        <v>1</v>
      </c>
      <c r="P348" s="414">
        <v>0</v>
      </c>
      <c r="Q348" s="414">
        <v>0</v>
      </c>
      <c r="R348" s="414">
        <v>1</v>
      </c>
      <c r="S348" s="414">
        <v>1</v>
      </c>
      <c r="T348" s="414">
        <v>1</v>
      </c>
      <c r="U348" s="414"/>
      <c r="V348" s="414">
        <v>0</v>
      </c>
      <c r="W348" s="414">
        <v>0</v>
      </c>
      <c r="X348" s="414">
        <v>0</v>
      </c>
      <c r="Y348" s="414">
        <v>0</v>
      </c>
      <c r="Z348" s="414"/>
    </row>
    <row r="349" spans="2:26" s="413" customFormat="1" ht="11.25" customHeight="1" x14ac:dyDescent="0.25">
      <c r="B349" s="431">
        <v>346</v>
      </c>
      <c r="C349" s="437" t="s">
        <v>1449</v>
      </c>
      <c r="D349" s="438" t="s">
        <v>527</v>
      </c>
      <c r="E349" s="431" t="s">
        <v>1455</v>
      </c>
      <c r="F349" s="448">
        <f>'MT-ETUS'!M198</f>
        <v>0</v>
      </c>
      <c r="G349" s="439"/>
      <c r="H349" s="439"/>
      <c r="I349" s="440"/>
      <c r="J349" s="414"/>
      <c r="L349" s="414">
        <v>5</v>
      </c>
      <c r="M349" s="414"/>
      <c r="N349" s="414">
        <v>1</v>
      </c>
      <c r="O349" s="386">
        <f t="shared" si="6"/>
        <v>1</v>
      </c>
      <c r="P349" s="414">
        <v>0</v>
      </c>
      <c r="Q349" s="414">
        <v>0</v>
      </c>
      <c r="R349" s="414">
        <v>1</v>
      </c>
      <c r="S349" s="414">
        <v>1</v>
      </c>
      <c r="T349" s="414">
        <v>1</v>
      </c>
      <c r="U349" s="414"/>
      <c r="V349" s="414">
        <v>0</v>
      </c>
      <c r="W349" s="414">
        <v>0</v>
      </c>
      <c r="X349" s="414">
        <v>0</v>
      </c>
      <c r="Y349" s="414">
        <v>0</v>
      </c>
      <c r="Z349" s="414"/>
    </row>
    <row r="350" spans="2:26" s="413" customFormat="1" ht="11.25" customHeight="1" x14ac:dyDescent="0.25">
      <c r="B350" s="431">
        <v>347</v>
      </c>
      <c r="C350" s="437" t="s">
        <v>1449</v>
      </c>
      <c r="D350" s="459" t="s">
        <v>1456</v>
      </c>
      <c r="E350" s="431"/>
      <c r="F350" s="512" t="s">
        <v>1730</v>
      </c>
      <c r="G350" s="439"/>
      <c r="H350" s="439"/>
      <c r="I350" s="440"/>
      <c r="J350" s="414"/>
      <c r="L350" s="414">
        <v>4</v>
      </c>
      <c r="M350" s="414"/>
      <c r="N350" s="414"/>
      <c r="O350" s="386">
        <f t="shared" si="6"/>
        <v>1</v>
      </c>
      <c r="P350" s="414">
        <v>0</v>
      </c>
      <c r="Q350" s="414">
        <v>0</v>
      </c>
      <c r="R350" s="414">
        <v>1</v>
      </c>
      <c r="S350" s="414">
        <v>1</v>
      </c>
      <c r="T350" s="414">
        <v>1</v>
      </c>
      <c r="U350" s="414"/>
      <c r="V350" s="414">
        <v>0</v>
      </c>
      <c r="W350" s="414">
        <v>0</v>
      </c>
      <c r="X350" s="414">
        <v>0</v>
      </c>
      <c r="Y350" s="414">
        <v>0</v>
      </c>
      <c r="Z350" s="414"/>
    </row>
    <row r="351" spans="2:26" s="413" customFormat="1" ht="11.25" customHeight="1" x14ac:dyDescent="0.25">
      <c r="B351" s="431">
        <v>348</v>
      </c>
      <c r="C351" s="437" t="s">
        <v>1457</v>
      </c>
      <c r="D351" s="438" t="s">
        <v>1458</v>
      </c>
      <c r="E351" s="431" t="s">
        <v>1186</v>
      </c>
      <c r="F351" s="513" t="s">
        <v>1731</v>
      </c>
      <c r="G351" s="439"/>
      <c r="H351" s="439"/>
      <c r="I351" s="440"/>
      <c r="J351" s="414"/>
      <c r="L351" s="414">
        <v>5</v>
      </c>
      <c r="M351" s="414"/>
      <c r="N351" s="414">
        <v>1</v>
      </c>
      <c r="O351" s="386">
        <f t="shared" si="6"/>
        <v>1</v>
      </c>
      <c r="P351" s="414">
        <v>0</v>
      </c>
      <c r="Q351" s="414">
        <v>1</v>
      </c>
      <c r="R351" s="414">
        <v>1</v>
      </c>
      <c r="S351" s="414">
        <v>1</v>
      </c>
      <c r="T351" s="414">
        <v>1</v>
      </c>
      <c r="U351" s="414"/>
      <c r="V351" s="414">
        <v>1</v>
      </c>
      <c r="W351" s="414">
        <v>1</v>
      </c>
      <c r="X351" s="414">
        <v>1</v>
      </c>
      <c r="Y351" s="414">
        <v>1</v>
      </c>
      <c r="Z351" s="414"/>
    </row>
    <row r="352" spans="2:26" s="413" customFormat="1" ht="11.25" customHeight="1" x14ac:dyDescent="0.25">
      <c r="B352" s="431">
        <v>349</v>
      </c>
      <c r="C352" s="437" t="s">
        <v>1459</v>
      </c>
      <c r="D352" s="438" t="s">
        <v>1460</v>
      </c>
      <c r="E352" s="431" t="s">
        <v>1186</v>
      </c>
      <c r="F352" s="468" t="str">
        <f>'Lista de chequeo MT'!F198</f>
        <v xml:space="preserve">Espesor (mm) :    -  Conductividad (W/m.K) :  </v>
      </c>
      <c r="G352" s="439"/>
      <c r="H352" s="439"/>
      <c r="I352" s="440"/>
      <c r="J352" s="414"/>
      <c r="L352" s="414">
        <v>5</v>
      </c>
      <c r="M352" s="414"/>
      <c r="N352" s="414"/>
      <c r="O352" s="386">
        <f t="shared" si="6"/>
        <v>1</v>
      </c>
      <c r="P352" s="414">
        <v>0</v>
      </c>
      <c r="Q352" s="414">
        <v>1</v>
      </c>
      <c r="R352" s="414">
        <v>1</v>
      </c>
      <c r="S352" s="414">
        <v>1</v>
      </c>
      <c r="T352" s="414">
        <v>1</v>
      </c>
      <c r="U352" s="414"/>
      <c r="V352" s="414">
        <v>1</v>
      </c>
      <c r="W352" s="414">
        <v>1</v>
      </c>
      <c r="X352" s="414">
        <v>1</v>
      </c>
      <c r="Y352" s="414">
        <v>1</v>
      </c>
      <c r="Z352" s="414"/>
    </row>
    <row r="353" spans="2:26" s="413" customFormat="1" ht="11.25" customHeight="1" x14ac:dyDescent="0.25">
      <c r="B353" s="431">
        <v>350</v>
      </c>
      <c r="C353" s="437" t="s">
        <v>1461</v>
      </c>
      <c r="D353" s="438" t="s">
        <v>385</v>
      </c>
      <c r="E353" s="431" t="s">
        <v>1462</v>
      </c>
      <c r="F353" s="448">
        <f>'MT-ETUS'!M335</f>
        <v>0</v>
      </c>
      <c r="G353" s="466"/>
      <c r="H353" s="466"/>
      <c r="I353" s="467"/>
      <c r="J353" s="414"/>
      <c r="L353" s="414">
        <v>5</v>
      </c>
      <c r="M353" s="414"/>
      <c r="N353" s="414">
        <v>1</v>
      </c>
      <c r="O353" s="386">
        <f t="shared" si="6"/>
        <v>1</v>
      </c>
      <c r="P353" s="414">
        <v>0</v>
      </c>
      <c r="Q353" s="414">
        <v>0</v>
      </c>
      <c r="R353" s="414">
        <v>0</v>
      </c>
      <c r="S353" s="414">
        <v>1</v>
      </c>
      <c r="T353" s="414">
        <v>1</v>
      </c>
      <c r="U353" s="414"/>
      <c r="V353" s="414">
        <v>0</v>
      </c>
      <c r="W353" s="414">
        <v>0</v>
      </c>
      <c r="X353" s="414">
        <v>0</v>
      </c>
      <c r="Y353" s="414">
        <v>0</v>
      </c>
      <c r="Z353" s="414"/>
    </row>
    <row r="354" spans="2:26" s="413" customFormat="1" ht="11.25" customHeight="1" x14ac:dyDescent="0.25">
      <c r="B354" s="431">
        <v>351</v>
      </c>
      <c r="C354" s="437" t="s">
        <v>1461</v>
      </c>
      <c r="D354" s="438" t="s">
        <v>215</v>
      </c>
      <c r="E354" s="431" t="s">
        <v>1463</v>
      </c>
      <c r="F354" s="448" t="str">
        <f>'MT-ETUS'!M338&amp;" y "&amp;'MT-ETUS'!P338</f>
        <v xml:space="preserve">- y </v>
      </c>
      <c r="G354" s="466"/>
      <c r="H354" s="466"/>
      <c r="I354" s="467"/>
      <c r="J354" s="414"/>
      <c r="L354" s="414">
        <v>2</v>
      </c>
      <c r="M354" s="414"/>
      <c r="N354" s="414">
        <v>1</v>
      </c>
      <c r="O354" s="386">
        <f t="shared" si="6"/>
        <v>1</v>
      </c>
      <c r="P354" s="414">
        <v>0</v>
      </c>
      <c r="Q354" s="414">
        <v>0</v>
      </c>
      <c r="R354" s="414">
        <v>1</v>
      </c>
      <c r="S354" s="414">
        <v>1</v>
      </c>
      <c r="T354" s="414">
        <v>1</v>
      </c>
      <c r="U354" s="414"/>
      <c r="V354" s="414">
        <v>0</v>
      </c>
      <c r="W354" s="414">
        <v>0</v>
      </c>
      <c r="X354" s="414">
        <v>0</v>
      </c>
      <c r="Y354" s="414">
        <v>0</v>
      </c>
      <c r="Z354" s="414"/>
    </row>
    <row r="355" spans="2:26" s="413" customFormat="1" ht="11.25" customHeight="1" x14ac:dyDescent="0.25">
      <c r="B355" s="431">
        <v>352</v>
      </c>
      <c r="C355" s="437" t="s">
        <v>1461</v>
      </c>
      <c r="D355" s="438" t="s">
        <v>214</v>
      </c>
      <c r="E355" s="431" t="s">
        <v>1464</v>
      </c>
      <c r="F355" s="448" t="str">
        <f>'MT-ETUS'!M339&amp;" y "&amp;'MT-ETUS'!Q339</f>
        <v xml:space="preserve">- y </v>
      </c>
      <c r="G355" s="466"/>
      <c r="H355" s="466"/>
      <c r="I355" s="467"/>
      <c r="J355" s="414"/>
      <c r="L355" s="414">
        <v>4</v>
      </c>
      <c r="M355" s="414"/>
      <c r="N355" s="414"/>
      <c r="O355" s="386">
        <f t="shared" si="6"/>
        <v>1</v>
      </c>
      <c r="P355" s="414">
        <v>0</v>
      </c>
      <c r="Q355" s="414">
        <v>0</v>
      </c>
      <c r="R355" s="414">
        <v>1</v>
      </c>
      <c r="S355" s="414">
        <v>1</v>
      </c>
      <c r="T355" s="414">
        <v>1</v>
      </c>
      <c r="U355" s="414"/>
      <c r="V355" s="414">
        <v>0</v>
      </c>
      <c r="W355" s="414">
        <v>0</v>
      </c>
      <c r="X355" s="414">
        <v>0</v>
      </c>
      <c r="Y355" s="414">
        <v>0</v>
      </c>
      <c r="Z355" s="414"/>
    </row>
    <row r="356" spans="2:26" s="413" customFormat="1" ht="11.25" customHeight="1" x14ac:dyDescent="0.25">
      <c r="B356" s="431">
        <v>353</v>
      </c>
      <c r="C356" s="437" t="s">
        <v>1461</v>
      </c>
      <c r="D356" s="438" t="s">
        <v>1465</v>
      </c>
      <c r="E356" s="431"/>
      <c r="F356" s="512" t="s">
        <v>1724</v>
      </c>
      <c r="G356" s="439"/>
      <c r="H356" s="439"/>
      <c r="I356" s="440"/>
      <c r="J356" s="414"/>
      <c r="L356" s="414">
        <v>2</v>
      </c>
      <c r="M356" s="414"/>
      <c r="N356" s="414">
        <v>1</v>
      </c>
      <c r="O356" s="386">
        <f t="shared" si="6"/>
        <v>1</v>
      </c>
      <c r="P356" s="414">
        <v>0</v>
      </c>
      <c r="Q356" s="414">
        <v>0</v>
      </c>
      <c r="R356" s="414">
        <v>1</v>
      </c>
      <c r="S356" s="414">
        <v>1</v>
      </c>
      <c r="T356" s="414">
        <v>1</v>
      </c>
      <c r="U356" s="414"/>
      <c r="V356" s="414">
        <v>0</v>
      </c>
      <c r="W356" s="414">
        <v>0</v>
      </c>
      <c r="X356" s="414">
        <v>0</v>
      </c>
      <c r="Y356" s="414">
        <v>0</v>
      </c>
      <c r="Z356" s="414"/>
    </row>
    <row r="357" spans="2:26" s="413" customFormat="1" ht="11.25" customHeight="1" x14ac:dyDescent="0.25">
      <c r="B357" s="431">
        <v>354</v>
      </c>
      <c r="C357" s="437" t="s">
        <v>1466</v>
      </c>
      <c r="D357" s="438" t="s">
        <v>481</v>
      </c>
      <c r="E357" s="431" t="s">
        <v>1467</v>
      </c>
      <c r="F357" s="448" t="str">
        <f>'MT-ETUS'!M344&amp;" "&amp;'MT-ETUS'!N344&amp;" y "&amp;'MT-ETUS'!Q344&amp;" "&amp;'MT-ETUS'!R344&amp;" y "&amp;'MT-ETUS'!U344&amp;" "&amp;'MT-ETUS'!V344</f>
        <v>- Automático y - Man conexión y - Man desconexión</v>
      </c>
      <c r="G357" s="466"/>
      <c r="H357" s="466"/>
      <c r="I357" s="467"/>
      <c r="J357" s="414"/>
      <c r="L357" s="414">
        <v>4</v>
      </c>
      <c r="M357" s="414"/>
      <c r="N357" s="414"/>
      <c r="O357" s="386">
        <f t="shared" si="6"/>
        <v>1</v>
      </c>
      <c r="P357" s="414">
        <v>0</v>
      </c>
      <c r="Q357" s="414">
        <v>0</v>
      </c>
      <c r="R357" s="414">
        <v>0</v>
      </c>
      <c r="S357" s="414">
        <v>1</v>
      </c>
      <c r="T357" s="414">
        <v>1</v>
      </c>
      <c r="U357" s="414"/>
      <c r="V357" s="414">
        <v>0</v>
      </c>
      <c r="W357" s="414">
        <v>0</v>
      </c>
      <c r="X357" s="414">
        <v>0</v>
      </c>
      <c r="Y357" s="414">
        <v>0</v>
      </c>
      <c r="Z357" s="414"/>
    </row>
    <row r="358" spans="2:26" s="413" customFormat="1" ht="11.25" customHeight="1" x14ac:dyDescent="0.25">
      <c r="B358" s="431">
        <v>355</v>
      </c>
      <c r="C358" s="437" t="s">
        <v>1468</v>
      </c>
      <c r="D358" s="459" t="s">
        <v>1469</v>
      </c>
      <c r="E358" s="431" t="s">
        <v>238</v>
      </c>
      <c r="F358" s="512" t="s">
        <v>1721</v>
      </c>
      <c r="G358" s="439"/>
      <c r="H358" s="439"/>
      <c r="I358" s="440"/>
      <c r="J358" s="414"/>
      <c r="L358" s="414">
        <v>4</v>
      </c>
      <c r="M358" s="414"/>
      <c r="N358" s="414"/>
      <c r="O358" s="386">
        <f t="shared" si="6"/>
        <v>1</v>
      </c>
      <c r="P358" s="414">
        <v>0</v>
      </c>
      <c r="Q358" s="414">
        <v>0</v>
      </c>
      <c r="R358" s="414">
        <v>0</v>
      </c>
      <c r="S358" s="414">
        <v>1</v>
      </c>
      <c r="T358" s="414">
        <v>1</v>
      </c>
      <c r="U358" s="414"/>
      <c r="V358" s="414">
        <v>0</v>
      </c>
      <c r="W358" s="414">
        <v>0</v>
      </c>
      <c r="X358" s="414">
        <v>0</v>
      </c>
      <c r="Y358" s="414">
        <v>0</v>
      </c>
      <c r="Z358" s="414"/>
    </row>
    <row r="359" spans="2:26" s="413" customFormat="1" ht="11.25" customHeight="1" x14ac:dyDescent="0.25">
      <c r="B359" s="431">
        <v>356</v>
      </c>
      <c r="C359" s="437" t="s">
        <v>1470</v>
      </c>
      <c r="D359" s="438" t="s">
        <v>218</v>
      </c>
      <c r="E359" s="431" t="s">
        <v>1471</v>
      </c>
      <c r="F359" s="448" t="str">
        <f>'MT-ETUS'!M340&amp;" y "&amp;'MT-ETUS'!Q340</f>
        <v xml:space="preserve">- y </v>
      </c>
      <c r="G359" s="466"/>
      <c r="H359" s="466"/>
      <c r="I359" s="467"/>
      <c r="J359" s="414"/>
      <c r="L359" s="414">
        <v>4</v>
      </c>
      <c r="M359" s="414"/>
      <c r="N359" s="414"/>
      <c r="O359" s="386">
        <f t="shared" si="6"/>
        <v>1</v>
      </c>
      <c r="P359" s="414">
        <v>0</v>
      </c>
      <c r="Q359" s="414">
        <v>0</v>
      </c>
      <c r="R359" s="414">
        <v>1</v>
      </c>
      <c r="S359" s="414">
        <v>1</v>
      </c>
      <c r="T359" s="414">
        <v>1</v>
      </c>
      <c r="U359" s="414"/>
      <c r="V359" s="414">
        <v>0</v>
      </c>
      <c r="W359" s="414">
        <v>0</v>
      </c>
      <c r="X359" s="414">
        <v>0</v>
      </c>
      <c r="Y359" s="414">
        <v>0</v>
      </c>
      <c r="Z359" s="414"/>
    </row>
    <row r="360" spans="2:26" s="413" customFormat="1" ht="11.25" customHeight="1" x14ac:dyDescent="0.25">
      <c r="B360" s="431">
        <v>357</v>
      </c>
      <c r="C360" s="437" t="s">
        <v>1472</v>
      </c>
      <c r="D360" s="438" t="s">
        <v>217</v>
      </c>
      <c r="E360" s="431" t="s">
        <v>1473</v>
      </c>
      <c r="F360" s="448" t="str">
        <f>'MT-ETUS'!M341&amp;" y "&amp;'MT-ETUS'!Q341</f>
        <v xml:space="preserve">- y </v>
      </c>
      <c r="G360" s="466"/>
      <c r="H360" s="466"/>
      <c r="I360" s="467"/>
      <c r="J360" s="414"/>
      <c r="L360" s="414">
        <v>4</v>
      </c>
      <c r="M360" s="414"/>
      <c r="N360" s="414"/>
      <c r="O360" s="386">
        <f t="shared" si="6"/>
        <v>1</v>
      </c>
      <c r="P360" s="414">
        <v>0</v>
      </c>
      <c r="Q360" s="414">
        <v>0</v>
      </c>
      <c r="R360" s="414">
        <v>1</v>
      </c>
      <c r="S360" s="414">
        <v>1</v>
      </c>
      <c r="T360" s="414">
        <v>1</v>
      </c>
      <c r="U360" s="414"/>
      <c r="V360" s="414">
        <v>0</v>
      </c>
      <c r="W360" s="414">
        <v>0</v>
      </c>
      <c r="X360" s="414">
        <v>0</v>
      </c>
      <c r="Y360" s="414">
        <v>0</v>
      </c>
      <c r="Z360" s="414"/>
    </row>
    <row r="361" spans="2:26" s="413" customFormat="1" ht="11.25" customHeight="1" x14ac:dyDescent="0.25">
      <c r="B361" s="431">
        <v>358</v>
      </c>
      <c r="C361" s="437" t="s">
        <v>1474</v>
      </c>
      <c r="D361" s="438" t="s">
        <v>1475</v>
      </c>
      <c r="E361" s="431"/>
      <c r="F361" s="512" t="s">
        <v>1729</v>
      </c>
      <c r="G361" s="439"/>
      <c r="H361" s="439"/>
      <c r="I361" s="440"/>
      <c r="J361" s="414"/>
      <c r="L361" s="414">
        <v>4</v>
      </c>
      <c r="M361" s="414"/>
      <c r="N361" s="414">
        <v>1</v>
      </c>
      <c r="O361" s="386">
        <f t="shared" si="6"/>
        <v>1</v>
      </c>
      <c r="P361" s="414">
        <v>0</v>
      </c>
      <c r="Q361" s="414">
        <v>0</v>
      </c>
      <c r="R361" s="414">
        <v>0</v>
      </c>
      <c r="S361" s="414">
        <v>0</v>
      </c>
      <c r="T361" s="414">
        <v>1</v>
      </c>
      <c r="U361" s="414"/>
      <c r="V361" s="414">
        <v>0</v>
      </c>
      <c r="W361" s="414">
        <v>0</v>
      </c>
      <c r="X361" s="414">
        <v>0</v>
      </c>
      <c r="Y361" s="414">
        <v>0</v>
      </c>
      <c r="Z361" s="414"/>
    </row>
    <row r="362" spans="2:26" s="413" customFormat="1" ht="11.25" customHeight="1" x14ac:dyDescent="0.25">
      <c r="B362" s="431">
        <v>359</v>
      </c>
      <c r="C362" s="437" t="s">
        <v>1476</v>
      </c>
      <c r="D362" s="438" t="s">
        <v>1477</v>
      </c>
      <c r="E362" s="431"/>
      <c r="F362" s="512" t="s">
        <v>1729</v>
      </c>
      <c r="G362" s="439"/>
      <c r="H362" s="439"/>
      <c r="I362" s="440"/>
      <c r="J362" s="414"/>
      <c r="L362" s="414">
        <v>4</v>
      </c>
      <c r="M362" s="414"/>
      <c r="N362" s="414">
        <v>1</v>
      </c>
      <c r="O362" s="386">
        <f t="shared" si="6"/>
        <v>1</v>
      </c>
      <c r="P362" s="414">
        <v>0</v>
      </c>
      <c r="Q362" s="414">
        <v>0</v>
      </c>
      <c r="R362" s="414">
        <v>0</v>
      </c>
      <c r="S362" s="414">
        <v>0</v>
      </c>
      <c r="T362" s="414">
        <v>1</v>
      </c>
      <c r="U362" s="414"/>
      <c r="V362" s="414">
        <v>0</v>
      </c>
      <c r="W362" s="414">
        <v>0</v>
      </c>
      <c r="X362" s="414">
        <v>0</v>
      </c>
      <c r="Y362" s="414">
        <v>0</v>
      </c>
      <c r="Z362" s="414"/>
    </row>
    <row r="363" spans="2:26" s="413" customFormat="1" ht="11.25" customHeight="1" x14ac:dyDescent="0.25">
      <c r="B363" s="431">
        <v>360</v>
      </c>
      <c r="C363" s="437" t="s">
        <v>1478</v>
      </c>
      <c r="D363" s="438" t="s">
        <v>307</v>
      </c>
      <c r="E363" s="431" t="s">
        <v>1479</v>
      </c>
      <c r="F363" s="448" t="str">
        <f>"Paro a "&amp;'MT-ETUS'!P342&amp;" ºC y marcha a "&amp;'MT-ETUS'!U342</f>
        <v xml:space="preserve">Paro a  ºC y marcha a </v>
      </c>
      <c r="G363" s="466"/>
      <c r="H363" s="466"/>
      <c r="I363" s="467"/>
      <c r="J363" s="414"/>
      <c r="L363" s="414">
        <v>4</v>
      </c>
      <c r="M363" s="414"/>
      <c r="N363" s="414"/>
      <c r="O363" s="386">
        <f t="shared" si="6"/>
        <v>1</v>
      </c>
      <c r="P363" s="414">
        <v>0</v>
      </c>
      <c r="Q363" s="414">
        <v>0</v>
      </c>
      <c r="R363" s="414">
        <v>1</v>
      </c>
      <c r="S363" s="414">
        <v>1</v>
      </c>
      <c r="T363" s="414">
        <v>1</v>
      </c>
      <c r="U363" s="414"/>
      <c r="V363" s="414">
        <v>0</v>
      </c>
      <c r="W363" s="414">
        <v>0</v>
      </c>
      <c r="X363" s="414">
        <v>0</v>
      </c>
      <c r="Y363" s="414">
        <v>0</v>
      </c>
      <c r="Z363" s="414"/>
    </row>
    <row r="364" spans="2:26" s="413" customFormat="1" ht="11.25" customHeight="1" x14ac:dyDescent="0.25">
      <c r="B364" s="431">
        <v>361</v>
      </c>
      <c r="C364" s="437" t="s">
        <v>1480</v>
      </c>
      <c r="D364" s="438" t="s">
        <v>1481</v>
      </c>
      <c r="E364" s="431" t="s">
        <v>1479</v>
      </c>
      <c r="F364" s="438" t="str">
        <f>'MT-ETUS'!W342&amp;" es superior a 2K"</f>
        <v>0 es superior a 2K</v>
      </c>
      <c r="G364" s="439"/>
      <c r="H364" s="439"/>
      <c r="I364" s="440"/>
      <c r="J364" s="414"/>
      <c r="L364" s="414">
        <v>4</v>
      </c>
      <c r="M364" s="414"/>
      <c r="N364" s="414"/>
      <c r="O364" s="386">
        <f t="shared" si="6"/>
        <v>1</v>
      </c>
      <c r="P364" s="414">
        <v>0</v>
      </c>
      <c r="Q364" s="414">
        <v>0</v>
      </c>
      <c r="R364" s="414">
        <v>1</v>
      </c>
      <c r="S364" s="414">
        <v>1</v>
      </c>
      <c r="T364" s="414">
        <v>1</v>
      </c>
      <c r="U364" s="414"/>
      <c r="V364" s="414">
        <v>0</v>
      </c>
      <c r="W364" s="414">
        <v>0</v>
      </c>
      <c r="X364" s="414">
        <v>0</v>
      </c>
      <c r="Y364" s="414">
        <v>0</v>
      </c>
      <c r="Z364" s="414"/>
    </row>
    <row r="365" spans="2:26" s="413" customFormat="1" ht="11.25" customHeight="1" x14ac:dyDescent="0.25">
      <c r="B365" s="431">
        <v>362</v>
      </c>
      <c r="C365" s="437" t="s">
        <v>1482</v>
      </c>
      <c r="D365" s="438" t="s">
        <v>305</v>
      </c>
      <c r="E365" s="431" t="s">
        <v>1483</v>
      </c>
      <c r="F365" s="448" t="str">
        <f>'MT-ETUS'!M343&amp;" "&amp;'MT-ETUS'!N343&amp;" y "&amp;'MT-ETUS'!Q343&amp;" "&amp;'MT-ETUS'!R343&amp;" y "&amp;'MT-ETUS'!U343&amp;" "&amp;'MT-ETUS'!V343</f>
        <v xml:space="preserve">- Alimentación y - Funcionamiento y - </v>
      </c>
      <c r="G365" s="466"/>
      <c r="H365" s="466"/>
      <c r="I365" s="467"/>
      <c r="J365" s="414"/>
      <c r="L365" s="414">
        <v>5</v>
      </c>
      <c r="M365" s="414"/>
      <c r="N365" s="414">
        <v>1</v>
      </c>
      <c r="O365" s="386">
        <f t="shared" si="6"/>
        <v>1</v>
      </c>
      <c r="P365" s="414">
        <v>0</v>
      </c>
      <c r="Q365" s="414">
        <v>0</v>
      </c>
      <c r="R365" s="414">
        <v>0</v>
      </c>
      <c r="S365" s="414">
        <v>1</v>
      </c>
      <c r="T365" s="414">
        <v>1</v>
      </c>
      <c r="U365" s="414"/>
      <c r="V365" s="414">
        <v>0</v>
      </c>
      <c r="W365" s="414">
        <v>0</v>
      </c>
      <c r="X365" s="414">
        <v>0</v>
      </c>
      <c r="Y365" s="414">
        <v>0</v>
      </c>
      <c r="Z365" s="414"/>
    </row>
    <row r="366" spans="2:26" s="413" customFormat="1" ht="11.25" customHeight="1" x14ac:dyDescent="0.25">
      <c r="B366" s="431">
        <v>363</v>
      </c>
      <c r="C366" s="437" t="s">
        <v>1484</v>
      </c>
      <c r="D366" s="438" t="s">
        <v>1485</v>
      </c>
      <c r="E366" s="431" t="s">
        <v>1486</v>
      </c>
      <c r="F366" s="448" t="str">
        <f>'MT-ETUS'!M345&amp;" limita a "&amp;'MT-ETUS'!O345&amp;" ºC y actua: "&amp;'MT-ETUS'!S345</f>
        <v xml:space="preserve">- limita a  ºC y actua: </v>
      </c>
      <c r="G366" s="466"/>
      <c r="H366" s="466"/>
      <c r="I366" s="467"/>
      <c r="J366" s="414"/>
      <c r="L366" s="414">
        <v>4</v>
      </c>
      <c r="M366" s="414"/>
      <c r="N366" s="414"/>
      <c r="O366" s="386">
        <f t="shared" si="6"/>
        <v>1</v>
      </c>
      <c r="P366" s="414">
        <v>0</v>
      </c>
      <c r="Q366" s="414">
        <v>0</v>
      </c>
      <c r="R366" s="414">
        <v>1</v>
      </c>
      <c r="S366" s="414">
        <v>1</v>
      </c>
      <c r="T366" s="414">
        <v>1</v>
      </c>
      <c r="U366" s="414"/>
      <c r="V366" s="414">
        <v>0</v>
      </c>
      <c r="W366" s="414">
        <v>0</v>
      </c>
      <c r="X366" s="414">
        <v>0</v>
      </c>
      <c r="Y366" s="414">
        <v>0</v>
      </c>
      <c r="Z366" s="414"/>
    </row>
    <row r="367" spans="2:26" s="413" customFormat="1" ht="11.25" customHeight="1" x14ac:dyDescent="0.25">
      <c r="B367" s="431">
        <v>364</v>
      </c>
      <c r="C367" s="437" t="s">
        <v>1487</v>
      </c>
      <c r="D367" s="438" t="s">
        <v>1488</v>
      </c>
      <c r="E367" s="431" t="s">
        <v>1489</v>
      </c>
      <c r="F367" s="448" t="str">
        <f>'MT-ETUS'!M346&amp;" limita a "&amp;'MT-ETUS'!O346&amp;" ºC y actua: "&amp;'MT-ETUS'!S346</f>
        <v xml:space="preserve">- limita a  ºC y actua: </v>
      </c>
      <c r="G367" s="466"/>
      <c r="H367" s="466"/>
      <c r="I367" s="467"/>
      <c r="J367" s="414"/>
      <c r="L367" s="414">
        <v>4</v>
      </c>
      <c r="M367" s="414"/>
      <c r="N367" s="414"/>
      <c r="O367" s="386">
        <f t="shared" si="6"/>
        <v>1</v>
      </c>
      <c r="P367" s="414">
        <v>0</v>
      </c>
      <c r="Q367" s="414">
        <v>0</v>
      </c>
      <c r="R367" s="414">
        <v>1</v>
      </c>
      <c r="S367" s="414">
        <v>1</v>
      </c>
      <c r="T367" s="414">
        <v>1</v>
      </c>
      <c r="U367" s="414"/>
      <c r="V367" s="414">
        <v>0</v>
      </c>
      <c r="W367" s="414">
        <v>0</v>
      </c>
      <c r="X367" s="414">
        <v>0</v>
      </c>
      <c r="Y367" s="414">
        <v>0</v>
      </c>
      <c r="Z367" s="414"/>
    </row>
    <row r="368" spans="2:26" s="413" customFormat="1" ht="11.25" customHeight="1" x14ac:dyDescent="0.25">
      <c r="B368" s="431">
        <v>365</v>
      </c>
      <c r="C368" s="437" t="s">
        <v>1490</v>
      </c>
      <c r="D368" s="438" t="s">
        <v>1491</v>
      </c>
      <c r="E368" s="431" t="s">
        <v>1723</v>
      </c>
      <c r="F368" s="512" t="s">
        <v>1724</v>
      </c>
      <c r="G368" s="439"/>
      <c r="H368" s="439"/>
      <c r="I368" s="440"/>
      <c r="J368" s="414"/>
      <c r="L368" s="414">
        <v>4</v>
      </c>
      <c r="M368" s="414"/>
      <c r="N368" s="414"/>
      <c r="O368" s="386">
        <f t="shared" si="6"/>
        <v>1</v>
      </c>
      <c r="P368" s="414">
        <v>0</v>
      </c>
      <c r="Q368" s="414">
        <v>0</v>
      </c>
      <c r="R368" s="414">
        <v>0</v>
      </c>
      <c r="S368" s="414">
        <v>1</v>
      </c>
      <c r="T368" s="414">
        <v>1</v>
      </c>
      <c r="U368" s="414"/>
      <c r="V368" s="414">
        <v>0</v>
      </c>
      <c r="W368" s="414">
        <v>0</v>
      </c>
      <c r="X368" s="414">
        <v>0</v>
      </c>
      <c r="Y368" s="414">
        <v>0</v>
      </c>
      <c r="Z368" s="414"/>
    </row>
    <row r="369" spans="2:26" s="413" customFormat="1" ht="11.25" customHeight="1" x14ac:dyDescent="0.25">
      <c r="B369" s="431">
        <v>366</v>
      </c>
      <c r="C369" s="437" t="s">
        <v>1492</v>
      </c>
      <c r="D369" s="438" t="s">
        <v>1493</v>
      </c>
      <c r="E369" s="431" t="s">
        <v>1494</v>
      </c>
      <c r="F369" s="448" t="str">
        <f>'MT-ETUS'!M347&amp;" limita a "&amp;'MT-ETUS'!O347&amp;" ºC y actua: "&amp;'MT-ETUS'!S347</f>
        <v xml:space="preserve">- limita a  ºC y actua: </v>
      </c>
      <c r="G369" s="466"/>
      <c r="H369" s="466"/>
      <c r="I369" s="467"/>
      <c r="J369" s="414"/>
      <c r="L369" s="414">
        <v>4</v>
      </c>
      <c r="M369" s="414"/>
      <c r="N369" s="414"/>
      <c r="O369" s="386">
        <f t="shared" si="6"/>
        <v>1</v>
      </c>
      <c r="P369" s="414">
        <v>0</v>
      </c>
      <c r="Q369" s="414">
        <v>0</v>
      </c>
      <c r="R369" s="414">
        <v>0</v>
      </c>
      <c r="S369" s="414">
        <v>1</v>
      </c>
      <c r="T369" s="414">
        <v>1</v>
      </c>
      <c r="U369" s="414"/>
      <c r="V369" s="414">
        <v>0</v>
      </c>
      <c r="W369" s="414">
        <v>0</v>
      </c>
      <c r="X369" s="414">
        <v>0</v>
      </c>
      <c r="Y369" s="414">
        <v>0</v>
      </c>
      <c r="Z369" s="414"/>
    </row>
    <row r="370" spans="2:26" s="420" customFormat="1" ht="11.25" customHeight="1" x14ac:dyDescent="0.25">
      <c r="B370" s="431">
        <v>367</v>
      </c>
      <c r="C370" s="432" t="s">
        <v>1495</v>
      </c>
      <c r="D370" s="433" t="s">
        <v>1496</v>
      </c>
      <c r="E370" s="434"/>
      <c r="F370" s="433"/>
      <c r="G370" s="435"/>
      <c r="H370" s="435"/>
      <c r="I370" s="436"/>
      <c r="J370" s="414"/>
      <c r="L370" s="414">
        <v>0</v>
      </c>
      <c r="M370" s="414"/>
      <c r="N370" s="428"/>
      <c r="O370" s="386" t="str">
        <f t="shared" si="6"/>
        <v>x</v>
      </c>
      <c r="P370" s="414" t="s">
        <v>2</v>
      </c>
      <c r="Q370" s="414" t="s">
        <v>2</v>
      </c>
      <c r="R370" s="414" t="s">
        <v>2</v>
      </c>
      <c r="S370" s="414" t="s">
        <v>2</v>
      </c>
      <c r="T370" s="414" t="s">
        <v>2</v>
      </c>
      <c r="U370" s="414"/>
      <c r="V370" s="414" t="s">
        <v>2</v>
      </c>
      <c r="W370" s="414" t="s">
        <v>2</v>
      </c>
      <c r="X370" s="414" t="s">
        <v>2</v>
      </c>
      <c r="Y370" s="414" t="s">
        <v>2</v>
      </c>
      <c r="Z370" s="414"/>
    </row>
    <row r="371" spans="2:26" s="420" customFormat="1" ht="11.25" customHeight="1" x14ac:dyDescent="0.25">
      <c r="B371" s="431">
        <v>368</v>
      </c>
      <c r="C371" s="437" t="s">
        <v>1497</v>
      </c>
      <c r="D371" s="438" t="s">
        <v>1498</v>
      </c>
      <c r="E371" s="431" t="s">
        <v>1499</v>
      </c>
      <c r="F371" s="438" t="str">
        <f>'MT-ETUS'!U29</f>
        <v>si</v>
      </c>
      <c r="G371" s="435"/>
      <c r="H371" s="435"/>
      <c r="I371" s="436"/>
      <c r="J371" s="414"/>
      <c r="K371" s="413" t="s">
        <v>1745</v>
      </c>
      <c r="L371" s="414">
        <v>4</v>
      </c>
      <c r="M371" s="414"/>
      <c r="N371" s="428"/>
      <c r="O371" s="386">
        <f t="shared" si="6"/>
        <v>1</v>
      </c>
      <c r="P371" s="414">
        <v>1</v>
      </c>
      <c r="Q371" s="414">
        <v>1</v>
      </c>
      <c r="R371" s="414">
        <v>1</v>
      </c>
      <c r="S371" s="414">
        <v>1</v>
      </c>
      <c r="T371" s="414">
        <v>1</v>
      </c>
      <c r="U371" s="414"/>
      <c r="V371" s="414">
        <v>1</v>
      </c>
      <c r="W371" s="414">
        <v>1</v>
      </c>
      <c r="X371" s="414">
        <v>1</v>
      </c>
      <c r="Y371" s="414">
        <v>1</v>
      </c>
      <c r="Z371" s="414"/>
    </row>
    <row r="372" spans="2:26" s="413" customFormat="1" ht="11.25" customHeight="1" x14ac:dyDescent="0.25">
      <c r="B372" s="431">
        <v>369</v>
      </c>
      <c r="C372" s="437" t="s">
        <v>1500</v>
      </c>
      <c r="D372" s="438" t="s">
        <v>133</v>
      </c>
      <c r="E372" s="431" t="s">
        <v>1501</v>
      </c>
      <c r="F372" s="448" t="str">
        <f>'MT-ETUS'!F25</f>
        <v>Centro penitenciario</v>
      </c>
      <c r="G372" s="466"/>
      <c r="H372" s="466"/>
      <c r="I372" s="467"/>
      <c r="J372" s="414"/>
      <c r="K372" s="413" t="s">
        <v>1746</v>
      </c>
      <c r="L372" s="414">
        <v>5</v>
      </c>
      <c r="M372" s="414"/>
      <c r="N372" s="414">
        <v>1</v>
      </c>
      <c r="O372" s="386">
        <f t="shared" si="6"/>
        <v>1</v>
      </c>
      <c r="P372" s="414">
        <v>1</v>
      </c>
      <c r="Q372" s="414">
        <v>1</v>
      </c>
      <c r="R372" s="414">
        <v>1</v>
      </c>
      <c r="S372" s="414">
        <v>1</v>
      </c>
      <c r="T372" s="414">
        <v>1</v>
      </c>
      <c r="U372" s="414"/>
      <c r="V372" s="414">
        <v>1</v>
      </c>
      <c r="W372" s="414">
        <v>1</v>
      </c>
      <c r="X372" s="414">
        <v>1</v>
      </c>
      <c r="Y372" s="414">
        <v>1</v>
      </c>
      <c r="Z372" s="414"/>
    </row>
    <row r="373" spans="2:26" s="413" customFormat="1" ht="11.25" customHeight="1" x14ac:dyDescent="0.25">
      <c r="B373" s="431">
        <v>370</v>
      </c>
      <c r="C373" s="437" t="s">
        <v>1500</v>
      </c>
      <c r="D373" s="438" t="s">
        <v>1502</v>
      </c>
      <c r="E373" s="431" t="s">
        <v>1499</v>
      </c>
      <c r="F373" s="468">
        <f>'MT-ETUS'!I29</f>
        <v>0</v>
      </c>
      <c r="G373" s="466"/>
      <c r="H373" s="466"/>
      <c r="I373" s="467"/>
      <c r="J373" s="414"/>
      <c r="K373" s="413" t="s">
        <v>1747</v>
      </c>
      <c r="L373" s="414">
        <v>6</v>
      </c>
      <c r="M373" s="414"/>
      <c r="N373" s="414"/>
      <c r="O373" s="386">
        <f t="shared" si="6"/>
        <v>1</v>
      </c>
      <c r="P373" s="414">
        <v>1</v>
      </c>
      <c r="Q373" s="414">
        <v>1</v>
      </c>
      <c r="R373" s="414">
        <v>1</v>
      </c>
      <c r="S373" s="414">
        <v>1</v>
      </c>
      <c r="T373" s="414">
        <v>1</v>
      </c>
      <c r="U373" s="414"/>
      <c r="V373" s="414">
        <v>1</v>
      </c>
      <c r="W373" s="414">
        <v>1</v>
      </c>
      <c r="X373" s="414">
        <v>1</v>
      </c>
      <c r="Y373" s="414">
        <v>1</v>
      </c>
      <c r="Z373" s="414"/>
    </row>
    <row r="374" spans="2:26" s="413" customFormat="1" ht="11.25" customHeight="1" x14ac:dyDescent="0.25">
      <c r="B374" s="431">
        <v>371</v>
      </c>
      <c r="C374" s="437" t="s">
        <v>1500</v>
      </c>
      <c r="D374" s="438" t="s">
        <v>1503</v>
      </c>
      <c r="E374" s="431" t="s">
        <v>1499</v>
      </c>
      <c r="F374" s="448">
        <f>'MT-ETUS'!K29</f>
        <v>0</v>
      </c>
      <c r="G374" s="466"/>
      <c r="H374" s="466"/>
      <c r="I374" s="467"/>
      <c r="J374" s="414"/>
      <c r="K374" s="413" t="s">
        <v>1747</v>
      </c>
      <c r="L374" s="414">
        <v>6</v>
      </c>
      <c r="M374" s="414"/>
      <c r="N374" s="414"/>
      <c r="O374" s="386">
        <f t="shared" si="6"/>
        <v>1</v>
      </c>
      <c r="P374" s="414">
        <v>1</v>
      </c>
      <c r="Q374" s="414">
        <v>1</v>
      </c>
      <c r="R374" s="414">
        <v>1</v>
      </c>
      <c r="S374" s="414">
        <v>1</v>
      </c>
      <c r="T374" s="414">
        <v>1</v>
      </c>
      <c r="U374" s="414"/>
      <c r="V374" s="414">
        <v>1</v>
      </c>
      <c r="W374" s="414">
        <v>1</v>
      </c>
      <c r="X374" s="414">
        <v>1</v>
      </c>
      <c r="Y374" s="414">
        <v>1</v>
      </c>
      <c r="Z374" s="414"/>
    </row>
    <row r="375" spans="2:26" s="413" customFormat="1" ht="11.25" customHeight="1" x14ac:dyDescent="0.25">
      <c r="B375" s="431">
        <v>372</v>
      </c>
      <c r="C375" s="437" t="s">
        <v>1500</v>
      </c>
      <c r="D375" s="438" t="s">
        <v>1504</v>
      </c>
      <c r="E375" s="431" t="s">
        <v>1505</v>
      </c>
      <c r="F375" s="468">
        <f>'MT-ETUS'!I30</f>
        <v>0</v>
      </c>
      <c r="G375" s="466"/>
      <c r="H375" s="466"/>
      <c r="I375" s="467"/>
      <c r="J375" s="414"/>
      <c r="K375" s="413" t="s">
        <v>1748</v>
      </c>
      <c r="L375" s="414">
        <v>5</v>
      </c>
      <c r="M375" s="414"/>
      <c r="N375" s="414"/>
      <c r="O375" s="386">
        <f t="shared" si="6"/>
        <v>1</v>
      </c>
      <c r="P375" s="414">
        <v>1</v>
      </c>
      <c r="Q375" s="414">
        <v>1</v>
      </c>
      <c r="R375" s="414">
        <v>1</v>
      </c>
      <c r="S375" s="414">
        <v>1</v>
      </c>
      <c r="T375" s="414">
        <v>1</v>
      </c>
      <c r="U375" s="414"/>
      <c r="V375" s="414">
        <v>1</v>
      </c>
      <c r="W375" s="414">
        <v>1</v>
      </c>
      <c r="X375" s="414">
        <v>1</v>
      </c>
      <c r="Y375" s="414">
        <v>1</v>
      </c>
      <c r="Z375" s="414"/>
    </row>
    <row r="376" spans="2:26" s="413" customFormat="1" ht="11.25" customHeight="1" x14ac:dyDescent="0.25">
      <c r="B376" s="431">
        <v>373</v>
      </c>
      <c r="C376" s="437" t="s">
        <v>1506</v>
      </c>
      <c r="D376" s="438" t="s">
        <v>1507</v>
      </c>
      <c r="E376" s="431"/>
      <c r="F376" s="438"/>
      <c r="G376" s="439"/>
      <c r="H376" s="439"/>
      <c r="I376" s="440"/>
      <c r="J376" s="414"/>
      <c r="K376" s="413" t="s">
        <v>1749</v>
      </c>
      <c r="L376" s="414">
        <v>5</v>
      </c>
      <c r="M376" s="414"/>
      <c r="N376" s="414"/>
      <c r="O376" s="386">
        <f t="shared" si="6"/>
        <v>1</v>
      </c>
      <c r="P376" s="414">
        <v>1</v>
      </c>
      <c r="Q376" s="414">
        <v>1</v>
      </c>
      <c r="R376" s="414">
        <v>1</v>
      </c>
      <c r="S376" s="414">
        <v>1</v>
      </c>
      <c r="T376" s="414">
        <v>1</v>
      </c>
      <c r="U376" s="414"/>
      <c r="V376" s="414">
        <v>1</v>
      </c>
      <c r="W376" s="414">
        <v>1</v>
      </c>
      <c r="X376" s="414">
        <v>1</v>
      </c>
      <c r="Y376" s="414">
        <v>1</v>
      </c>
      <c r="Z376" s="414"/>
    </row>
    <row r="377" spans="2:26" s="413" customFormat="1" ht="11.25" customHeight="1" x14ac:dyDescent="0.25">
      <c r="B377" s="431">
        <v>374</v>
      </c>
      <c r="C377" s="437" t="s">
        <v>1506</v>
      </c>
      <c r="D377" s="438" t="s">
        <v>1508</v>
      </c>
      <c r="E377" s="431" t="s">
        <v>1509</v>
      </c>
      <c r="F377" s="468">
        <f>'MT-ETUS'!I28</f>
        <v>0</v>
      </c>
      <c r="G377" s="466"/>
      <c r="H377" s="466"/>
      <c r="I377" s="467"/>
      <c r="J377" s="414"/>
      <c r="K377" s="413" t="s">
        <v>1750</v>
      </c>
      <c r="L377" s="414">
        <v>5</v>
      </c>
      <c r="M377" s="414"/>
      <c r="N377" s="414">
        <v>1</v>
      </c>
      <c r="O377" s="386">
        <f t="shared" si="6"/>
        <v>1</v>
      </c>
      <c r="P377" s="414">
        <v>1</v>
      </c>
      <c r="Q377" s="414">
        <v>1</v>
      </c>
      <c r="R377" s="414">
        <v>1</v>
      </c>
      <c r="S377" s="414">
        <v>1</v>
      </c>
      <c r="T377" s="414">
        <v>1</v>
      </c>
      <c r="U377" s="414"/>
      <c r="V377" s="414">
        <v>1</v>
      </c>
      <c r="W377" s="414">
        <v>1</v>
      </c>
      <c r="X377" s="414">
        <v>1</v>
      </c>
      <c r="Y377" s="414">
        <v>1</v>
      </c>
      <c r="Z377" s="414"/>
    </row>
    <row r="378" spans="2:26" s="413" customFormat="1" ht="11.25" customHeight="1" x14ac:dyDescent="0.25">
      <c r="B378" s="431">
        <v>375</v>
      </c>
      <c r="C378" s="437" t="s">
        <v>1510</v>
      </c>
      <c r="D378" s="438" t="s">
        <v>1511</v>
      </c>
      <c r="E378" s="431" t="s">
        <v>1512</v>
      </c>
      <c r="F378" s="448" t="str">
        <f>'MT-ETUS'!Q25&amp;" - "&amp;'MT-ETUS'!Q27</f>
        <v xml:space="preserve">1D - </v>
      </c>
      <c r="G378" s="466"/>
      <c r="H378" s="466"/>
      <c r="I378" s="467"/>
      <c r="J378" s="414"/>
      <c r="K378" s="413" t="s">
        <v>1751</v>
      </c>
      <c r="L378" s="414">
        <v>5</v>
      </c>
      <c r="M378" s="414"/>
      <c r="N378" s="414"/>
      <c r="O378" s="386">
        <f t="shared" si="6"/>
        <v>1</v>
      </c>
      <c r="P378" s="414">
        <v>1</v>
      </c>
      <c r="Q378" s="414">
        <v>1</v>
      </c>
      <c r="R378" s="414">
        <v>1</v>
      </c>
      <c r="S378" s="414">
        <v>1</v>
      </c>
      <c r="T378" s="414">
        <v>1</v>
      </c>
      <c r="U378" s="414"/>
      <c r="V378" s="414">
        <v>1</v>
      </c>
      <c r="W378" s="414">
        <v>1</v>
      </c>
      <c r="X378" s="414">
        <v>1</v>
      </c>
      <c r="Y378" s="414">
        <v>1</v>
      </c>
      <c r="Z378" s="414"/>
    </row>
    <row r="379" spans="2:26" s="413" customFormat="1" ht="11.25" customHeight="1" x14ac:dyDescent="0.25">
      <c r="B379" s="431">
        <v>376</v>
      </c>
      <c r="C379" s="437" t="s">
        <v>1510</v>
      </c>
      <c r="D379" s="438" t="s">
        <v>1513</v>
      </c>
      <c r="E379" s="431" t="s">
        <v>1509</v>
      </c>
      <c r="F379" s="448">
        <f>'MT-ETUS'!K28</f>
        <v>0</v>
      </c>
      <c r="G379" s="466"/>
      <c r="H379" s="466"/>
      <c r="I379" s="467"/>
      <c r="J379" s="414"/>
      <c r="K379" s="413" t="s">
        <v>1753</v>
      </c>
      <c r="L379" s="414">
        <v>5</v>
      </c>
      <c r="M379" s="414"/>
      <c r="N379" s="414">
        <v>1</v>
      </c>
      <c r="O379" s="386">
        <f t="shared" si="6"/>
        <v>1</v>
      </c>
      <c r="P379" s="414">
        <v>1</v>
      </c>
      <c r="Q379" s="414">
        <v>1</v>
      </c>
      <c r="R379" s="414">
        <v>1</v>
      </c>
      <c r="S379" s="414">
        <v>1</v>
      </c>
      <c r="T379" s="414">
        <v>1</v>
      </c>
      <c r="U379" s="414"/>
      <c r="V379" s="414">
        <v>1</v>
      </c>
      <c r="W379" s="414">
        <v>1</v>
      </c>
      <c r="X379" s="414">
        <v>1</v>
      </c>
      <c r="Y379" s="414">
        <v>1</v>
      </c>
      <c r="Z379" s="414"/>
    </row>
    <row r="380" spans="2:26" s="413" customFormat="1" ht="11.25" customHeight="1" x14ac:dyDescent="0.25">
      <c r="B380" s="431">
        <v>377</v>
      </c>
      <c r="C380" s="437" t="s">
        <v>1514</v>
      </c>
      <c r="D380" s="438" t="s">
        <v>229</v>
      </c>
      <c r="E380" s="431" t="s">
        <v>1515</v>
      </c>
      <c r="F380" s="448">
        <f>'MT-ETUS'!K26</f>
        <v>0</v>
      </c>
      <c r="G380" s="466"/>
      <c r="H380" s="466"/>
      <c r="I380" s="467"/>
      <c r="J380" s="414"/>
      <c r="K380" s="413" t="s">
        <v>1752</v>
      </c>
      <c r="L380" s="414">
        <v>5</v>
      </c>
      <c r="M380" s="414"/>
      <c r="N380" s="414"/>
      <c r="O380" s="386">
        <f t="shared" si="6"/>
        <v>1</v>
      </c>
      <c r="P380" s="414">
        <v>1</v>
      </c>
      <c r="Q380" s="414">
        <v>1</v>
      </c>
      <c r="R380" s="414">
        <v>1</v>
      </c>
      <c r="S380" s="414">
        <v>1</v>
      </c>
      <c r="T380" s="414">
        <v>1</v>
      </c>
      <c r="U380" s="414"/>
      <c r="V380" s="414">
        <v>1</v>
      </c>
      <c r="W380" s="414">
        <v>1</v>
      </c>
      <c r="X380" s="414">
        <v>1</v>
      </c>
      <c r="Y380" s="414">
        <v>1</v>
      </c>
      <c r="Z380" s="414"/>
    </row>
    <row r="381" spans="2:26" s="413" customFormat="1" ht="11.25" customHeight="1" x14ac:dyDescent="0.25">
      <c r="B381" s="431">
        <v>378</v>
      </c>
      <c r="C381" s="437" t="s">
        <v>1516</v>
      </c>
      <c r="D381" s="438" t="s">
        <v>230</v>
      </c>
      <c r="E381" s="431" t="s">
        <v>1512</v>
      </c>
      <c r="F381" s="456">
        <f>'MT-ETUS'!K27</f>
        <v>0</v>
      </c>
      <c r="G381" s="466"/>
      <c r="H381" s="466"/>
      <c r="I381" s="467"/>
      <c r="J381" s="414"/>
      <c r="K381" s="413" t="s">
        <v>1753</v>
      </c>
      <c r="L381" s="414">
        <v>5</v>
      </c>
      <c r="M381" s="414"/>
      <c r="N381" s="414"/>
      <c r="O381" s="386">
        <f t="shared" si="6"/>
        <v>1</v>
      </c>
      <c r="P381" s="414">
        <v>1</v>
      </c>
      <c r="Q381" s="414">
        <v>1</v>
      </c>
      <c r="R381" s="414">
        <v>1</v>
      </c>
      <c r="S381" s="414">
        <v>1</v>
      </c>
      <c r="T381" s="414">
        <v>1</v>
      </c>
      <c r="U381" s="414"/>
      <c r="V381" s="414">
        <v>1</v>
      </c>
      <c r="W381" s="414">
        <v>1</v>
      </c>
      <c r="X381" s="414">
        <v>1</v>
      </c>
      <c r="Y381" s="414">
        <v>1</v>
      </c>
      <c r="Z381" s="414"/>
    </row>
    <row r="382" spans="2:26" s="413" customFormat="1" ht="11.25" customHeight="1" x14ac:dyDescent="0.25">
      <c r="B382" s="431">
        <v>379</v>
      </c>
      <c r="C382" s="437" t="s">
        <v>1516</v>
      </c>
      <c r="D382" s="438" t="s">
        <v>1517</v>
      </c>
      <c r="E382" s="431" t="s">
        <v>1518</v>
      </c>
      <c r="F382" s="464">
        <f>'MT-ETUS'!I31</f>
        <v>0</v>
      </c>
      <c r="G382" s="466"/>
      <c r="H382" s="466"/>
      <c r="I382" s="467"/>
      <c r="J382" s="414"/>
      <c r="K382" s="413" t="s">
        <v>1753</v>
      </c>
      <c r="L382" s="414">
        <v>6</v>
      </c>
      <c r="M382" s="414"/>
      <c r="N382" s="414"/>
      <c r="O382" s="386">
        <f t="shared" si="6"/>
        <v>1</v>
      </c>
      <c r="P382" s="414">
        <v>1</v>
      </c>
      <c r="Q382" s="414">
        <v>1</v>
      </c>
      <c r="R382" s="414">
        <v>1</v>
      </c>
      <c r="S382" s="414">
        <v>1</v>
      </c>
      <c r="T382" s="414">
        <v>1</v>
      </c>
      <c r="U382" s="414"/>
      <c r="V382" s="414">
        <v>1</v>
      </c>
      <c r="W382" s="414">
        <v>1</v>
      </c>
      <c r="X382" s="414">
        <v>1</v>
      </c>
      <c r="Y382" s="414">
        <v>1</v>
      </c>
      <c r="Z382" s="414"/>
    </row>
    <row r="383" spans="2:26" s="413" customFormat="1" ht="11.25" customHeight="1" x14ac:dyDescent="0.25">
      <c r="B383" s="431">
        <v>380</v>
      </c>
      <c r="C383" s="437" t="s">
        <v>1519</v>
      </c>
      <c r="D383" s="438" t="s">
        <v>1520</v>
      </c>
      <c r="E383" s="431"/>
      <c r="F383" s="464">
        <f>'MT-ETUS'!K31</f>
        <v>0</v>
      </c>
      <c r="G383" s="466"/>
      <c r="H383" s="466"/>
      <c r="I383" s="467"/>
      <c r="J383" s="414"/>
      <c r="K383" s="413" t="s">
        <v>1753</v>
      </c>
      <c r="L383" s="414">
        <v>6</v>
      </c>
      <c r="M383" s="414"/>
      <c r="N383" s="414"/>
      <c r="O383" s="386">
        <f t="shared" si="6"/>
        <v>1</v>
      </c>
      <c r="P383" s="414">
        <v>1</v>
      </c>
      <c r="Q383" s="414">
        <v>1</v>
      </c>
      <c r="R383" s="414">
        <v>1</v>
      </c>
      <c r="S383" s="414">
        <v>1</v>
      </c>
      <c r="T383" s="414">
        <v>1</v>
      </c>
      <c r="U383" s="414"/>
      <c r="V383" s="414">
        <v>1</v>
      </c>
      <c r="W383" s="414">
        <v>1</v>
      </c>
      <c r="X383" s="414">
        <v>1</v>
      </c>
      <c r="Y383" s="414">
        <v>1</v>
      </c>
      <c r="Z383" s="414"/>
    </row>
    <row r="384" spans="2:26" s="413" customFormat="1" ht="11.25" customHeight="1" x14ac:dyDescent="0.25">
      <c r="B384" s="431">
        <v>381</v>
      </c>
      <c r="C384" s="437" t="s">
        <v>1521</v>
      </c>
      <c r="D384" s="438" t="s">
        <v>1522</v>
      </c>
      <c r="E384" s="431" t="s">
        <v>1518</v>
      </c>
      <c r="F384" s="437" t="str">
        <f>'MT-ETUS'!S31</f>
        <v>E2</v>
      </c>
      <c r="G384" s="439"/>
      <c r="H384" s="439"/>
      <c r="I384" s="440"/>
      <c r="J384" s="414"/>
      <c r="K384" s="413" t="s">
        <v>1755</v>
      </c>
      <c r="L384" s="414">
        <v>5</v>
      </c>
      <c r="M384" s="414"/>
      <c r="N384" s="414"/>
      <c r="O384" s="386">
        <f t="shared" si="6"/>
        <v>1</v>
      </c>
      <c r="P384" s="414">
        <v>1</v>
      </c>
      <c r="Q384" s="414">
        <v>1</v>
      </c>
      <c r="R384" s="414">
        <v>1</v>
      </c>
      <c r="S384" s="414">
        <v>1</v>
      </c>
      <c r="T384" s="414">
        <v>1</v>
      </c>
      <c r="U384" s="414"/>
      <c r="V384" s="414">
        <v>1</v>
      </c>
      <c r="W384" s="414">
        <v>1</v>
      </c>
      <c r="X384" s="414">
        <v>1</v>
      </c>
      <c r="Y384" s="414">
        <v>1</v>
      </c>
      <c r="Z384" s="414"/>
    </row>
    <row r="385" spans="2:26" s="413" customFormat="1" ht="11.25" customHeight="1" x14ac:dyDescent="0.25">
      <c r="B385" s="431">
        <v>382</v>
      </c>
      <c r="C385" s="437" t="s">
        <v>1523</v>
      </c>
      <c r="D385" s="438" t="s">
        <v>1524</v>
      </c>
      <c r="E385" s="431" t="s">
        <v>1518</v>
      </c>
      <c r="F385" s="437" t="str">
        <f>IF(F$384="E1",'MT-ETUS'!E$75,"NA")</f>
        <v>NA</v>
      </c>
      <c r="G385" s="439"/>
      <c r="H385" s="439"/>
      <c r="I385" s="440"/>
      <c r="J385" s="414"/>
      <c r="K385" s="413" t="s">
        <v>1754</v>
      </c>
      <c r="L385" s="414">
        <v>5</v>
      </c>
      <c r="M385" s="414"/>
      <c r="N385" s="414"/>
      <c r="O385" s="386">
        <f t="shared" si="6"/>
        <v>1</v>
      </c>
      <c r="P385" s="414">
        <v>1</v>
      </c>
      <c r="Q385" s="414">
        <v>1</v>
      </c>
      <c r="R385" s="414">
        <v>1</v>
      </c>
      <c r="S385" s="414">
        <v>1</v>
      </c>
      <c r="T385" s="414">
        <v>1</v>
      </c>
      <c r="U385" s="414"/>
      <c r="V385" s="414">
        <v>1</v>
      </c>
      <c r="W385" s="414">
        <v>1</v>
      </c>
      <c r="X385" s="414">
        <v>1</v>
      </c>
      <c r="Y385" s="414">
        <v>1</v>
      </c>
      <c r="Z385" s="414"/>
    </row>
    <row r="386" spans="2:26" s="413" customFormat="1" ht="11.25" customHeight="1" x14ac:dyDescent="0.25">
      <c r="B386" s="431">
        <v>383</v>
      </c>
      <c r="C386" s="437" t="s">
        <v>1525</v>
      </c>
      <c r="D386" s="438" t="s">
        <v>1526</v>
      </c>
      <c r="E386" s="431" t="s">
        <v>1518</v>
      </c>
      <c r="F386" s="437">
        <f>IF(F$384="E2",'MT-ETUS'!E$75,"NA")</f>
        <v>0</v>
      </c>
      <c r="G386" s="439"/>
      <c r="H386" s="439"/>
      <c r="I386" s="440"/>
      <c r="J386" s="414"/>
      <c r="K386" s="413" t="s">
        <v>1754</v>
      </c>
      <c r="L386" s="414">
        <v>5</v>
      </c>
      <c r="M386" s="414"/>
      <c r="N386" s="414"/>
      <c r="O386" s="386">
        <f t="shared" si="6"/>
        <v>1</v>
      </c>
      <c r="P386" s="414">
        <v>1</v>
      </c>
      <c r="Q386" s="414">
        <v>1</v>
      </c>
      <c r="R386" s="414">
        <v>1</v>
      </c>
      <c r="S386" s="414">
        <v>1</v>
      </c>
      <c r="T386" s="414">
        <v>1</v>
      </c>
      <c r="U386" s="414"/>
      <c r="V386" s="414">
        <v>1</v>
      </c>
      <c r="W386" s="414">
        <v>1</v>
      </c>
      <c r="X386" s="414">
        <v>1</v>
      </c>
      <c r="Y386" s="414">
        <v>1</v>
      </c>
      <c r="Z386" s="414"/>
    </row>
    <row r="387" spans="2:26" s="413" customFormat="1" ht="11.25" customHeight="1" x14ac:dyDescent="0.25">
      <c r="B387" s="431">
        <v>384</v>
      </c>
      <c r="C387" s="437" t="s">
        <v>1527</v>
      </c>
      <c r="D387" s="438" t="s">
        <v>1528</v>
      </c>
      <c r="E387" s="431" t="s">
        <v>1518</v>
      </c>
      <c r="F387" s="437">
        <f>IF(F$384="E2",'MT-ETUS'!E$75,"NA")</f>
        <v>0</v>
      </c>
      <c r="G387" s="439"/>
      <c r="H387" s="439"/>
      <c r="I387" s="440"/>
      <c r="J387" s="414"/>
      <c r="K387" s="413" t="s">
        <v>1754</v>
      </c>
      <c r="L387" s="414">
        <v>5</v>
      </c>
      <c r="M387" s="414"/>
      <c r="N387" s="414"/>
      <c r="O387" s="386">
        <f t="shared" si="6"/>
        <v>1</v>
      </c>
      <c r="P387" s="414">
        <v>1</v>
      </c>
      <c r="Q387" s="414">
        <v>1</v>
      </c>
      <c r="R387" s="414">
        <v>1</v>
      </c>
      <c r="S387" s="414">
        <v>1</v>
      </c>
      <c r="T387" s="414">
        <v>1</v>
      </c>
      <c r="U387" s="414"/>
      <c r="V387" s="414">
        <v>1</v>
      </c>
      <c r="W387" s="414">
        <v>1</v>
      </c>
      <c r="X387" s="414">
        <v>1</v>
      </c>
      <c r="Y387" s="414">
        <v>1</v>
      </c>
      <c r="Z387" s="414"/>
    </row>
    <row r="388" spans="2:26" s="413" customFormat="1" ht="11.25" customHeight="1" x14ac:dyDescent="0.25">
      <c r="B388" s="431">
        <v>385</v>
      </c>
      <c r="C388" s="437" t="s">
        <v>1529</v>
      </c>
      <c r="D388" s="438" t="s">
        <v>1530</v>
      </c>
      <c r="E388" s="431"/>
      <c r="F388" s="438"/>
      <c r="G388" s="439"/>
      <c r="H388" s="439"/>
      <c r="I388" s="440"/>
      <c r="J388" s="414"/>
      <c r="L388" s="414">
        <v>4</v>
      </c>
      <c r="M388" s="414"/>
      <c r="N388" s="414"/>
      <c r="O388" s="386">
        <f t="shared" ref="O388:O423" si="7">IF(O$3=0,0,IF(O$3=1,P388,IF(O$3=2,Q388,IF(O$3=3,R388,IF(O$3=4,S388,IF(O$3=5,T388,IF(O$3=6,V388,IF(O$3=7,W388,IF(O$3=8,X388,IF(O$3=9,Y388,0))))))))))</f>
        <v>1</v>
      </c>
      <c r="P388" s="414">
        <v>1</v>
      </c>
      <c r="Q388" s="414">
        <v>1</v>
      </c>
      <c r="R388" s="414">
        <v>1</v>
      </c>
      <c r="S388" s="414">
        <v>1</v>
      </c>
      <c r="T388" s="414">
        <v>1</v>
      </c>
      <c r="U388" s="414"/>
      <c r="V388" s="414">
        <v>1</v>
      </c>
      <c r="W388" s="414">
        <v>1</v>
      </c>
      <c r="X388" s="414">
        <v>1</v>
      </c>
      <c r="Y388" s="414">
        <v>1</v>
      </c>
      <c r="Z388" s="414"/>
    </row>
    <row r="389" spans="2:26" s="413" customFormat="1" ht="11.25" customHeight="1" x14ac:dyDescent="0.25">
      <c r="B389" s="431">
        <v>386</v>
      </c>
      <c r="C389" s="437" t="s">
        <v>1531</v>
      </c>
      <c r="D389" s="438" t="s">
        <v>1532</v>
      </c>
      <c r="E389" s="431" t="s">
        <v>1533</v>
      </c>
      <c r="F389" s="438"/>
      <c r="G389" s="439"/>
      <c r="H389" s="439"/>
      <c r="I389" s="440"/>
      <c r="J389" s="414"/>
      <c r="L389" s="414">
        <v>6</v>
      </c>
      <c r="M389" s="414"/>
      <c r="N389" s="414"/>
      <c r="O389" s="386">
        <f t="shared" si="7"/>
        <v>1</v>
      </c>
      <c r="P389" s="414">
        <v>1</v>
      </c>
      <c r="Q389" s="414">
        <v>1</v>
      </c>
      <c r="R389" s="414">
        <v>1</v>
      </c>
      <c r="S389" s="414">
        <v>1</v>
      </c>
      <c r="T389" s="414">
        <v>1</v>
      </c>
      <c r="U389" s="414"/>
      <c r="V389" s="414">
        <v>1</v>
      </c>
      <c r="W389" s="414">
        <v>1</v>
      </c>
      <c r="X389" s="414">
        <v>1</v>
      </c>
      <c r="Y389" s="414">
        <v>1</v>
      </c>
      <c r="Z389" s="414"/>
    </row>
    <row r="390" spans="2:26" s="413" customFormat="1" ht="11.25" customHeight="1" x14ac:dyDescent="0.25">
      <c r="B390" s="431">
        <v>387</v>
      </c>
      <c r="C390" s="437" t="s">
        <v>1534</v>
      </c>
      <c r="D390" s="438" t="s">
        <v>1535</v>
      </c>
      <c r="E390" s="431"/>
      <c r="F390" s="438"/>
      <c r="G390" s="439"/>
      <c r="H390" s="439"/>
      <c r="I390" s="440"/>
      <c r="J390" s="414"/>
      <c r="L390" s="414">
        <v>4</v>
      </c>
      <c r="M390" s="414"/>
      <c r="N390" s="414"/>
      <c r="O390" s="386">
        <f t="shared" si="7"/>
        <v>1</v>
      </c>
      <c r="P390" s="414">
        <v>1</v>
      </c>
      <c r="Q390" s="414">
        <v>1</v>
      </c>
      <c r="R390" s="414">
        <v>1</v>
      </c>
      <c r="S390" s="414">
        <v>1</v>
      </c>
      <c r="T390" s="414">
        <v>1</v>
      </c>
      <c r="U390" s="414"/>
      <c r="V390" s="414">
        <v>1</v>
      </c>
      <c r="W390" s="414">
        <v>1</v>
      </c>
      <c r="X390" s="414">
        <v>1</v>
      </c>
      <c r="Y390" s="414">
        <v>1</v>
      </c>
      <c r="Z390" s="414"/>
    </row>
    <row r="391" spans="2:26" s="413" customFormat="1" ht="11.25" customHeight="1" x14ac:dyDescent="0.25">
      <c r="B391" s="431">
        <v>388</v>
      </c>
      <c r="C391" s="437" t="s">
        <v>1536</v>
      </c>
      <c r="D391" s="438" t="s">
        <v>1537</v>
      </c>
      <c r="E391" s="431"/>
      <c r="F391" s="438"/>
      <c r="G391" s="439"/>
      <c r="H391" s="439"/>
      <c r="I391" s="440"/>
      <c r="J391" s="414"/>
      <c r="L391" s="414">
        <v>4</v>
      </c>
      <c r="M391" s="414"/>
      <c r="N391" s="414"/>
      <c r="O391" s="386">
        <f t="shared" si="7"/>
        <v>1</v>
      </c>
      <c r="P391" s="414">
        <v>1</v>
      </c>
      <c r="Q391" s="414">
        <v>1</v>
      </c>
      <c r="R391" s="414">
        <v>1</v>
      </c>
      <c r="S391" s="414">
        <v>1</v>
      </c>
      <c r="T391" s="414">
        <v>1</v>
      </c>
      <c r="U391" s="414"/>
      <c r="V391" s="414">
        <v>1</v>
      </c>
      <c r="W391" s="414">
        <v>1</v>
      </c>
      <c r="X391" s="414">
        <v>1</v>
      </c>
      <c r="Y391" s="414">
        <v>1</v>
      </c>
      <c r="Z391" s="414"/>
    </row>
    <row r="392" spans="2:26" s="413" customFormat="1" ht="11.25" customHeight="1" x14ac:dyDescent="0.25">
      <c r="B392" s="431">
        <v>389</v>
      </c>
      <c r="C392" s="437" t="s">
        <v>1538</v>
      </c>
      <c r="D392" s="438" t="s">
        <v>1539</v>
      </c>
      <c r="E392" s="431"/>
      <c r="F392" s="438"/>
      <c r="G392" s="439"/>
      <c r="H392" s="439"/>
      <c r="I392" s="440"/>
      <c r="J392" s="414"/>
      <c r="L392" s="414">
        <v>5</v>
      </c>
      <c r="M392" s="414"/>
      <c r="N392" s="414"/>
      <c r="O392" s="386">
        <f t="shared" si="7"/>
        <v>1</v>
      </c>
      <c r="P392" s="414">
        <v>1</v>
      </c>
      <c r="Q392" s="414">
        <v>1</v>
      </c>
      <c r="R392" s="414">
        <v>1</v>
      </c>
      <c r="S392" s="414">
        <v>1</v>
      </c>
      <c r="T392" s="414">
        <v>1</v>
      </c>
      <c r="U392" s="414"/>
      <c r="V392" s="414">
        <v>1</v>
      </c>
      <c r="W392" s="414">
        <v>1</v>
      </c>
      <c r="X392" s="414">
        <v>1</v>
      </c>
      <c r="Y392" s="414">
        <v>1</v>
      </c>
      <c r="Z392" s="414"/>
    </row>
    <row r="393" spans="2:26" s="413" customFormat="1" ht="11.25" customHeight="1" x14ac:dyDescent="0.25">
      <c r="B393" s="431">
        <v>390</v>
      </c>
      <c r="C393" s="437" t="s">
        <v>1540</v>
      </c>
      <c r="D393" s="438" t="s">
        <v>1541</v>
      </c>
      <c r="E393" s="431" t="s">
        <v>1542</v>
      </c>
      <c r="F393" s="438" t="str">
        <f>'MT-ETUS'!W32</f>
        <v>ETUS</v>
      </c>
      <c r="G393" s="439"/>
      <c r="H393" s="439"/>
      <c r="I393" s="440"/>
      <c r="J393" s="414"/>
      <c r="L393" s="414">
        <v>6</v>
      </c>
      <c r="M393" s="414"/>
      <c r="N393" s="414"/>
      <c r="O393" s="386">
        <f t="shared" si="7"/>
        <v>1</v>
      </c>
      <c r="P393" s="414">
        <v>1</v>
      </c>
      <c r="Q393" s="414">
        <v>1</v>
      </c>
      <c r="R393" s="414">
        <v>1</v>
      </c>
      <c r="S393" s="414">
        <v>1</v>
      </c>
      <c r="T393" s="414">
        <v>1</v>
      </c>
      <c r="U393" s="414"/>
      <c r="V393" s="414">
        <v>1</v>
      </c>
      <c r="W393" s="414">
        <v>1</v>
      </c>
      <c r="X393" s="414">
        <v>1</v>
      </c>
      <c r="Y393" s="414">
        <v>1</v>
      </c>
      <c r="Z393" s="414"/>
    </row>
    <row r="394" spans="2:26" s="413" customFormat="1" ht="11.25" customHeight="1" x14ac:dyDescent="0.25">
      <c r="B394" s="431">
        <v>391</v>
      </c>
      <c r="C394" s="437" t="s">
        <v>1543</v>
      </c>
      <c r="D394" s="438" t="s">
        <v>1544</v>
      </c>
      <c r="E394" s="431"/>
      <c r="F394" s="438" t="s">
        <v>1545</v>
      </c>
      <c r="G394" s="439"/>
      <c r="H394" s="439"/>
      <c r="I394" s="440"/>
      <c r="J394" s="414"/>
      <c r="L394" s="414">
        <v>6</v>
      </c>
      <c r="M394" s="414"/>
      <c r="N394" s="414"/>
      <c r="O394" s="386">
        <f t="shared" si="7"/>
        <v>1</v>
      </c>
      <c r="P394" s="414">
        <v>1</v>
      </c>
      <c r="Q394" s="414">
        <v>1</v>
      </c>
      <c r="R394" s="414">
        <v>1</v>
      </c>
      <c r="S394" s="414">
        <v>1</v>
      </c>
      <c r="T394" s="414">
        <v>1</v>
      </c>
      <c r="U394" s="414"/>
      <c r="V394" s="414">
        <v>1</v>
      </c>
      <c r="W394" s="414">
        <v>1</v>
      </c>
      <c r="X394" s="414">
        <v>1</v>
      </c>
      <c r="Y394" s="414">
        <v>1</v>
      </c>
      <c r="Z394" s="414"/>
    </row>
    <row r="395" spans="2:26" s="413" customFormat="1" ht="11.25" customHeight="1" x14ac:dyDescent="0.25">
      <c r="B395" s="431">
        <v>392</v>
      </c>
      <c r="C395" s="437" t="s">
        <v>1546</v>
      </c>
      <c r="D395" s="438" t="s">
        <v>1547</v>
      </c>
      <c r="E395" s="431" t="s">
        <v>1505</v>
      </c>
      <c r="F395" s="468">
        <f>'MT-ETUS'!N30</f>
        <v>0</v>
      </c>
      <c r="G395" s="466"/>
      <c r="H395" s="466"/>
      <c r="I395" s="467"/>
      <c r="J395" s="414"/>
      <c r="L395" s="414">
        <v>5</v>
      </c>
      <c r="M395" s="414"/>
      <c r="N395" s="414"/>
      <c r="O395" s="386">
        <f t="shared" si="7"/>
        <v>1</v>
      </c>
      <c r="P395" s="414">
        <v>1</v>
      </c>
      <c r="Q395" s="414">
        <v>1</v>
      </c>
      <c r="R395" s="414">
        <v>1</v>
      </c>
      <c r="S395" s="414">
        <v>1</v>
      </c>
      <c r="T395" s="414">
        <v>1</v>
      </c>
      <c r="U395" s="414"/>
      <c r="V395" s="414">
        <v>1</v>
      </c>
      <c r="W395" s="414">
        <v>1</v>
      </c>
      <c r="X395" s="414">
        <v>1</v>
      </c>
      <c r="Y395" s="414">
        <v>1</v>
      </c>
      <c r="Z395" s="414"/>
    </row>
    <row r="396" spans="2:26" s="413" customFormat="1" ht="11.25" customHeight="1" x14ac:dyDescent="0.25">
      <c r="B396" s="431">
        <v>393</v>
      </c>
      <c r="C396" s="437" t="s">
        <v>1546</v>
      </c>
      <c r="D396" s="438" t="s">
        <v>1548</v>
      </c>
      <c r="E396" s="431" t="s">
        <v>1505</v>
      </c>
      <c r="F396" s="437">
        <f>'MT-ETUS'!S30</f>
        <v>0</v>
      </c>
      <c r="G396" s="439"/>
      <c r="H396" s="439"/>
      <c r="I396" s="440"/>
      <c r="J396" s="414"/>
      <c r="L396" s="414">
        <v>5</v>
      </c>
      <c r="M396" s="414"/>
      <c r="N396" s="414"/>
      <c r="O396" s="386">
        <f t="shared" si="7"/>
        <v>1</v>
      </c>
      <c r="P396" s="414">
        <v>1</v>
      </c>
      <c r="Q396" s="414">
        <v>1</v>
      </c>
      <c r="R396" s="414">
        <v>1</v>
      </c>
      <c r="S396" s="414">
        <v>1</v>
      </c>
      <c r="T396" s="414">
        <v>1</v>
      </c>
      <c r="U396" s="414"/>
      <c r="V396" s="414">
        <v>1</v>
      </c>
      <c r="W396" s="414">
        <v>1</v>
      </c>
      <c r="X396" s="414">
        <v>1</v>
      </c>
      <c r="Y396" s="414">
        <v>1</v>
      </c>
      <c r="Z396" s="414"/>
    </row>
    <row r="397" spans="2:26" s="413" customFormat="1" ht="11.25" customHeight="1" x14ac:dyDescent="0.25">
      <c r="B397" s="431">
        <v>394</v>
      </c>
      <c r="C397" s="437" t="s">
        <v>1546</v>
      </c>
      <c r="D397" s="438" t="s">
        <v>1549</v>
      </c>
      <c r="E397" s="431" t="s">
        <v>1505</v>
      </c>
      <c r="F397" s="437">
        <f>'MT-ETUS'!W30</f>
        <v>0</v>
      </c>
      <c r="G397" s="439"/>
      <c r="H397" s="439"/>
      <c r="I397" s="440"/>
      <c r="J397" s="414"/>
      <c r="L397" s="414">
        <v>5</v>
      </c>
      <c r="M397" s="414"/>
      <c r="N397" s="414">
        <v>1</v>
      </c>
      <c r="O397" s="386">
        <f t="shared" si="7"/>
        <v>1</v>
      </c>
      <c r="P397" s="414">
        <v>1</v>
      </c>
      <c r="Q397" s="414">
        <v>1</v>
      </c>
      <c r="R397" s="414">
        <v>1</v>
      </c>
      <c r="S397" s="414">
        <v>1</v>
      </c>
      <c r="T397" s="414">
        <v>1</v>
      </c>
      <c r="U397" s="414"/>
      <c r="V397" s="414">
        <v>1</v>
      </c>
      <c r="W397" s="414">
        <v>1</v>
      </c>
      <c r="X397" s="414">
        <v>1</v>
      </c>
      <c r="Y397" s="414">
        <v>1</v>
      </c>
      <c r="Z397" s="414"/>
    </row>
    <row r="398" spans="2:26" s="413" customFormat="1" ht="11.25" customHeight="1" x14ac:dyDescent="0.25">
      <c r="B398" s="431">
        <v>395</v>
      </c>
      <c r="C398" s="437" t="s">
        <v>1550</v>
      </c>
      <c r="D398" s="438" t="s">
        <v>1551</v>
      </c>
      <c r="E398" s="431" t="s">
        <v>1542</v>
      </c>
      <c r="F398" s="448" t="str">
        <f>"Dpto: "&amp;'MT-ETUS'!H32&amp;" - Rad: "&amp;'MT-ETUS'!M32&amp;" - Temp amb: "&amp;'MT-ETUS'!R32</f>
        <v>Dpto: COLONIA - Rad: ETUS - Temp amb: ETUS</v>
      </c>
      <c r="G398" s="466"/>
      <c r="H398" s="466"/>
      <c r="I398" s="467"/>
      <c r="J398" s="414"/>
      <c r="L398" s="414">
        <v>6</v>
      </c>
      <c r="M398" s="414"/>
      <c r="N398" s="414"/>
      <c r="O398" s="386">
        <f t="shared" si="7"/>
        <v>1</v>
      </c>
      <c r="P398" s="414">
        <v>1</v>
      </c>
      <c r="Q398" s="414">
        <v>1</v>
      </c>
      <c r="R398" s="414">
        <v>1</v>
      </c>
      <c r="S398" s="414">
        <v>1</v>
      </c>
      <c r="T398" s="414">
        <v>1</v>
      </c>
      <c r="U398" s="414"/>
      <c r="V398" s="414">
        <v>1</v>
      </c>
      <c r="W398" s="414">
        <v>1</v>
      </c>
      <c r="X398" s="414">
        <v>1</v>
      </c>
      <c r="Y398" s="414">
        <v>1</v>
      </c>
      <c r="Z398" s="414"/>
    </row>
    <row r="399" spans="2:26" s="413" customFormat="1" ht="11.25" customHeight="1" x14ac:dyDescent="0.25">
      <c r="B399" s="431">
        <v>396</v>
      </c>
      <c r="C399" s="437" t="s">
        <v>1550</v>
      </c>
      <c r="D399" s="438" t="s">
        <v>1552</v>
      </c>
      <c r="E399" s="431" t="s">
        <v>1553</v>
      </c>
      <c r="F399" s="448" t="str">
        <f>"Orienta: "&amp;'MT-ETUS'!L33&amp;" - Inclina: "&amp;'MT-ETUS'!Q33&amp;"º - Pérd sombras: "&amp;'MT-ETUS'!W33&amp;"%"</f>
        <v>Orienta: N - Inclina: 0º - Pérd sombras: %</v>
      </c>
      <c r="G399" s="466"/>
      <c r="H399" s="466"/>
      <c r="I399" s="467"/>
      <c r="J399" s="414"/>
      <c r="L399" s="414">
        <v>6</v>
      </c>
      <c r="M399" s="414"/>
      <c r="N399" s="414"/>
      <c r="O399" s="386">
        <f t="shared" si="7"/>
        <v>1</v>
      </c>
      <c r="P399" s="414">
        <v>1</v>
      </c>
      <c r="Q399" s="414">
        <v>1</v>
      </c>
      <c r="R399" s="414">
        <v>1</v>
      </c>
      <c r="S399" s="414">
        <v>1</v>
      </c>
      <c r="T399" s="414">
        <v>1</v>
      </c>
      <c r="U399" s="414"/>
      <c r="V399" s="414">
        <v>1</v>
      </c>
      <c r="W399" s="414">
        <v>1</v>
      </c>
      <c r="X399" s="414">
        <v>1</v>
      </c>
      <c r="Y399" s="414">
        <v>1</v>
      </c>
      <c r="Z399" s="414"/>
    </row>
    <row r="400" spans="2:26" s="413" customFormat="1" ht="11.25" customHeight="1" x14ac:dyDescent="0.25">
      <c r="B400" s="431">
        <v>397</v>
      </c>
      <c r="C400" s="437" t="s">
        <v>1554</v>
      </c>
      <c r="D400" s="438" t="s">
        <v>1555</v>
      </c>
      <c r="E400" s="431" t="s">
        <v>1556</v>
      </c>
      <c r="F400" s="468" t="str">
        <f>'MT-ETUS'!G59</f>
        <v>Sólo ACS</v>
      </c>
      <c r="G400" s="466"/>
      <c r="H400" s="466"/>
      <c r="I400" s="467"/>
      <c r="J400" s="414"/>
      <c r="L400" s="414">
        <v>6</v>
      </c>
      <c r="M400" s="414"/>
      <c r="N400" s="414"/>
      <c r="O400" s="386">
        <f t="shared" si="7"/>
        <v>1</v>
      </c>
      <c r="P400" s="414">
        <v>1</v>
      </c>
      <c r="Q400" s="414">
        <v>1</v>
      </c>
      <c r="R400" s="414">
        <v>1</v>
      </c>
      <c r="S400" s="414">
        <v>1</v>
      </c>
      <c r="T400" s="414">
        <v>1</v>
      </c>
      <c r="U400" s="414"/>
      <c r="V400" s="414">
        <v>1</v>
      </c>
      <c r="W400" s="414">
        <v>1</v>
      </c>
      <c r="X400" s="414">
        <v>1</v>
      </c>
      <c r="Y400" s="414">
        <v>1</v>
      </c>
      <c r="Z400" s="414"/>
    </row>
    <row r="401" spans="2:26" s="413" customFormat="1" ht="11.25" customHeight="1" x14ac:dyDescent="0.25">
      <c r="B401" s="431">
        <v>398</v>
      </c>
      <c r="C401" s="437" t="s">
        <v>1554</v>
      </c>
      <c r="D401" s="438" t="s">
        <v>1557</v>
      </c>
      <c r="E401" s="431" t="s">
        <v>1556</v>
      </c>
      <c r="F401" s="468" t="str">
        <f>'MT-ETUS'!S59</f>
        <v>CALETUS v0.0</v>
      </c>
      <c r="G401" s="466"/>
      <c r="H401" s="466"/>
      <c r="I401" s="467"/>
      <c r="J401" s="414"/>
      <c r="L401" s="414">
        <v>6</v>
      </c>
      <c r="M401" s="414"/>
      <c r="N401" s="414"/>
      <c r="O401" s="386">
        <f t="shared" si="7"/>
        <v>1</v>
      </c>
      <c r="P401" s="414">
        <v>1</v>
      </c>
      <c r="Q401" s="414">
        <v>1</v>
      </c>
      <c r="R401" s="414">
        <v>1</v>
      </c>
      <c r="S401" s="414">
        <v>1</v>
      </c>
      <c r="T401" s="414">
        <v>1</v>
      </c>
      <c r="U401" s="414"/>
      <c r="V401" s="414">
        <v>1</v>
      </c>
      <c r="W401" s="414">
        <v>1</v>
      </c>
      <c r="X401" s="414">
        <v>1</v>
      </c>
      <c r="Y401" s="414">
        <v>1</v>
      </c>
      <c r="Z401" s="414"/>
    </row>
    <row r="402" spans="2:26" s="413" customFormat="1" ht="11.25" customHeight="1" x14ac:dyDescent="0.25">
      <c r="B402" s="431">
        <v>399</v>
      </c>
      <c r="C402" s="437" t="s">
        <v>1558</v>
      </c>
      <c r="D402" s="438" t="s">
        <v>1559</v>
      </c>
      <c r="E402" s="431" t="s">
        <v>1560</v>
      </c>
      <c r="F402" s="468">
        <f>'MT-ETUS'!I41</f>
        <v>0</v>
      </c>
      <c r="G402" s="466"/>
      <c r="H402" s="466"/>
      <c r="I402" s="467"/>
      <c r="J402" s="414"/>
      <c r="L402" s="414">
        <v>6</v>
      </c>
      <c r="M402" s="414"/>
      <c r="N402" s="414"/>
      <c r="O402" s="386">
        <f t="shared" si="7"/>
        <v>1</v>
      </c>
      <c r="P402" s="414">
        <v>0</v>
      </c>
      <c r="Q402" s="414">
        <v>0</v>
      </c>
      <c r="R402" s="414">
        <v>1</v>
      </c>
      <c r="S402" s="414">
        <v>1</v>
      </c>
      <c r="T402" s="414">
        <v>1</v>
      </c>
      <c r="U402" s="414"/>
      <c r="V402" s="414">
        <v>0</v>
      </c>
      <c r="W402" s="414">
        <v>1</v>
      </c>
      <c r="X402" s="414">
        <v>1</v>
      </c>
      <c r="Y402" s="414">
        <v>1</v>
      </c>
      <c r="Z402" s="414"/>
    </row>
    <row r="403" spans="2:26" s="413" customFormat="1" ht="11.25" customHeight="1" x14ac:dyDescent="0.25">
      <c r="B403" s="431">
        <v>400</v>
      </c>
      <c r="C403" s="437" t="s">
        <v>1558</v>
      </c>
      <c r="D403" s="438" t="s">
        <v>1561</v>
      </c>
      <c r="E403" s="431" t="s">
        <v>1560</v>
      </c>
      <c r="F403" s="468">
        <f>'MT-ETUS'!S41</f>
        <v>0</v>
      </c>
      <c r="G403" s="466"/>
      <c r="H403" s="466"/>
      <c r="I403" s="467"/>
      <c r="J403" s="414"/>
      <c r="L403" s="414">
        <v>6</v>
      </c>
      <c r="M403" s="414"/>
      <c r="N403" s="414">
        <v>1</v>
      </c>
      <c r="O403" s="386">
        <f t="shared" si="7"/>
        <v>1</v>
      </c>
      <c r="P403" s="414">
        <v>1</v>
      </c>
      <c r="Q403" s="414">
        <v>1</v>
      </c>
      <c r="R403" s="414">
        <v>1</v>
      </c>
      <c r="S403" s="414">
        <v>1</v>
      </c>
      <c r="T403" s="414">
        <v>1</v>
      </c>
      <c r="U403" s="414"/>
      <c r="V403" s="414">
        <v>1</v>
      </c>
      <c r="W403" s="414">
        <v>1</v>
      </c>
      <c r="X403" s="414">
        <v>1</v>
      </c>
      <c r="Y403" s="414">
        <v>1</v>
      </c>
      <c r="Z403" s="414"/>
    </row>
    <row r="404" spans="2:26" s="413" customFormat="1" ht="11.25" customHeight="1" x14ac:dyDescent="0.25">
      <c r="B404" s="431">
        <v>401</v>
      </c>
      <c r="C404" s="437" t="s">
        <v>1558</v>
      </c>
      <c r="D404" s="469" t="s">
        <v>1562</v>
      </c>
      <c r="E404" s="431" t="s">
        <v>1560</v>
      </c>
      <c r="F404" s="470">
        <f>'MT-ETUS'!U41</f>
        <v>0</v>
      </c>
      <c r="G404" s="471"/>
      <c r="H404" s="471"/>
      <c r="I404" s="472"/>
      <c r="J404" s="414"/>
      <c r="L404" s="414">
        <v>6</v>
      </c>
      <c r="M404" s="414"/>
      <c r="N404" s="414"/>
      <c r="O404" s="386">
        <f t="shared" si="7"/>
        <v>1</v>
      </c>
      <c r="P404" s="414">
        <v>1</v>
      </c>
      <c r="Q404" s="414">
        <v>1</v>
      </c>
      <c r="R404" s="414">
        <v>1</v>
      </c>
      <c r="S404" s="414">
        <v>1</v>
      </c>
      <c r="T404" s="414">
        <v>1</v>
      </c>
      <c r="U404" s="414"/>
      <c r="V404" s="414">
        <v>1</v>
      </c>
      <c r="W404" s="414">
        <v>1</v>
      </c>
      <c r="X404" s="414">
        <v>1</v>
      </c>
      <c r="Y404" s="414">
        <v>1</v>
      </c>
      <c r="Z404" s="414"/>
    </row>
    <row r="405" spans="2:26" s="413" customFormat="1" ht="11.25" customHeight="1" x14ac:dyDescent="0.25">
      <c r="B405" s="431">
        <v>402</v>
      </c>
      <c r="C405" s="437" t="s">
        <v>1558</v>
      </c>
      <c r="D405" s="438" t="s">
        <v>1563</v>
      </c>
      <c r="E405" s="431" t="s">
        <v>1560</v>
      </c>
      <c r="F405" s="470">
        <f>'MT-ETUS'!W41</f>
        <v>0</v>
      </c>
      <c r="G405" s="471"/>
      <c r="H405" s="471"/>
      <c r="I405" s="472"/>
      <c r="J405" s="414"/>
      <c r="L405" s="414">
        <v>5</v>
      </c>
      <c r="M405" s="414"/>
      <c r="N405" s="414"/>
      <c r="O405" s="386">
        <f t="shared" si="7"/>
        <v>1</v>
      </c>
      <c r="P405" s="414">
        <v>1</v>
      </c>
      <c r="Q405" s="414">
        <v>1</v>
      </c>
      <c r="R405" s="414">
        <v>1</v>
      </c>
      <c r="S405" s="414">
        <v>1</v>
      </c>
      <c r="T405" s="414">
        <v>1</v>
      </c>
      <c r="U405" s="414"/>
      <c r="V405" s="414">
        <v>1</v>
      </c>
      <c r="W405" s="414">
        <v>1</v>
      </c>
      <c r="X405" s="414">
        <v>1</v>
      </c>
      <c r="Y405" s="414">
        <v>1</v>
      </c>
      <c r="Z405" s="414"/>
    </row>
    <row r="406" spans="2:26" s="413" customFormat="1" ht="11.25" customHeight="1" x14ac:dyDescent="0.25">
      <c r="B406" s="431">
        <v>403</v>
      </c>
      <c r="C406" s="437" t="s">
        <v>1558</v>
      </c>
      <c r="D406" s="438" t="s">
        <v>1564</v>
      </c>
      <c r="E406" s="431" t="s">
        <v>1565</v>
      </c>
      <c r="F406" s="468">
        <f>'MT-ETUS'!I42</f>
        <v>0</v>
      </c>
      <c r="G406" s="466"/>
      <c r="H406" s="466"/>
      <c r="I406" s="467"/>
      <c r="J406" s="414"/>
      <c r="L406" s="414">
        <v>6</v>
      </c>
      <c r="M406" s="414"/>
      <c r="N406" s="414"/>
      <c r="O406" s="386">
        <f t="shared" si="7"/>
        <v>1</v>
      </c>
      <c r="P406" s="414">
        <v>0</v>
      </c>
      <c r="Q406" s="414">
        <v>0</v>
      </c>
      <c r="R406" s="414">
        <v>1</v>
      </c>
      <c r="S406" s="414">
        <v>1</v>
      </c>
      <c r="T406" s="414">
        <v>1</v>
      </c>
      <c r="U406" s="414"/>
      <c r="V406" s="414">
        <v>0</v>
      </c>
      <c r="W406" s="414">
        <v>1</v>
      </c>
      <c r="X406" s="414">
        <v>1</v>
      </c>
      <c r="Y406" s="414">
        <v>1</v>
      </c>
      <c r="Z406" s="414"/>
    </row>
    <row r="407" spans="2:26" s="413" customFormat="1" ht="11.25" customHeight="1" x14ac:dyDescent="0.25">
      <c r="B407" s="431">
        <v>404</v>
      </c>
      <c r="C407" s="437" t="s">
        <v>1558</v>
      </c>
      <c r="D407" s="438" t="s">
        <v>1566</v>
      </c>
      <c r="E407" s="431" t="s">
        <v>1565</v>
      </c>
      <c r="F407" s="468">
        <f>'MT-ETUS'!S42</f>
        <v>0</v>
      </c>
      <c r="G407" s="466"/>
      <c r="H407" s="466"/>
      <c r="I407" s="467"/>
      <c r="J407" s="414"/>
      <c r="L407" s="414">
        <v>6</v>
      </c>
      <c r="M407" s="414"/>
      <c r="N407" s="414">
        <v>1</v>
      </c>
      <c r="O407" s="386">
        <f t="shared" si="7"/>
        <v>1</v>
      </c>
      <c r="P407" s="414">
        <v>1</v>
      </c>
      <c r="Q407" s="414">
        <v>1</v>
      </c>
      <c r="R407" s="414">
        <v>1</v>
      </c>
      <c r="S407" s="414">
        <v>1</v>
      </c>
      <c r="T407" s="414">
        <v>1</v>
      </c>
      <c r="U407" s="414"/>
      <c r="V407" s="414">
        <v>1</v>
      </c>
      <c r="W407" s="414">
        <v>1</v>
      </c>
      <c r="X407" s="414">
        <v>1</v>
      </c>
      <c r="Y407" s="414">
        <v>1</v>
      </c>
      <c r="Z407" s="414"/>
    </row>
    <row r="408" spans="2:26" s="413" customFormat="1" ht="11.25" customHeight="1" x14ac:dyDescent="0.25">
      <c r="B408" s="431">
        <v>405</v>
      </c>
      <c r="C408" s="437" t="s">
        <v>1558</v>
      </c>
      <c r="D408" s="438" t="s">
        <v>1567</v>
      </c>
      <c r="E408" s="431" t="s">
        <v>1565</v>
      </c>
      <c r="F408" s="468">
        <f>'MT-ETUS'!U42</f>
        <v>0</v>
      </c>
      <c r="G408" s="466"/>
      <c r="H408" s="466"/>
      <c r="I408" s="467"/>
      <c r="J408" s="414"/>
      <c r="L408" s="414">
        <v>6</v>
      </c>
      <c r="M408" s="414"/>
      <c r="N408" s="414"/>
      <c r="O408" s="386">
        <f t="shared" si="7"/>
        <v>1</v>
      </c>
      <c r="P408" s="414">
        <v>1</v>
      </c>
      <c r="Q408" s="414">
        <v>1</v>
      </c>
      <c r="R408" s="414">
        <v>1</v>
      </c>
      <c r="S408" s="414">
        <v>1</v>
      </c>
      <c r="T408" s="414">
        <v>1</v>
      </c>
      <c r="U408" s="414"/>
      <c r="V408" s="414">
        <v>1</v>
      </c>
      <c r="W408" s="414">
        <v>1</v>
      </c>
      <c r="X408" s="414">
        <v>1</v>
      </c>
      <c r="Y408" s="414">
        <v>1</v>
      </c>
      <c r="Z408" s="414"/>
    </row>
    <row r="409" spans="2:26" s="413" customFormat="1" ht="11.25" customHeight="1" x14ac:dyDescent="0.25">
      <c r="B409" s="431">
        <v>406</v>
      </c>
      <c r="C409" s="437" t="s">
        <v>1558</v>
      </c>
      <c r="D409" s="438" t="s">
        <v>1568</v>
      </c>
      <c r="E409" s="431" t="s">
        <v>1565</v>
      </c>
      <c r="F409" s="468">
        <f>'MT-ETUS'!W42</f>
        <v>0</v>
      </c>
      <c r="G409" s="466"/>
      <c r="H409" s="466"/>
      <c r="I409" s="467"/>
      <c r="J409" s="414"/>
      <c r="L409" s="414">
        <v>5</v>
      </c>
      <c r="M409" s="414"/>
      <c r="N409" s="414"/>
      <c r="O409" s="386">
        <f t="shared" si="7"/>
        <v>1</v>
      </c>
      <c r="P409" s="414">
        <v>1</v>
      </c>
      <c r="Q409" s="414">
        <v>1</v>
      </c>
      <c r="R409" s="414">
        <v>1</v>
      </c>
      <c r="S409" s="414">
        <v>1</v>
      </c>
      <c r="T409" s="414">
        <v>1</v>
      </c>
      <c r="U409" s="414"/>
      <c r="V409" s="414">
        <v>1</v>
      </c>
      <c r="W409" s="414">
        <v>1</v>
      </c>
      <c r="X409" s="414">
        <v>1</v>
      </c>
      <c r="Y409" s="414">
        <v>1</v>
      </c>
      <c r="Z409" s="414"/>
    </row>
    <row r="410" spans="2:26" s="413" customFormat="1" ht="11.25" customHeight="1" x14ac:dyDescent="0.25">
      <c r="B410" s="431">
        <v>407</v>
      </c>
      <c r="C410" s="437" t="s">
        <v>1558</v>
      </c>
      <c r="D410" s="438" t="s">
        <v>1569</v>
      </c>
      <c r="E410" s="431" t="s">
        <v>1570</v>
      </c>
      <c r="F410" s="468" t="e">
        <f>'MT-ETUS'!S43</f>
        <v>#DIV/0!</v>
      </c>
      <c r="G410" s="466"/>
      <c r="H410" s="466"/>
      <c r="I410" s="467"/>
      <c r="J410" s="414"/>
      <c r="L410" s="414">
        <v>6</v>
      </c>
      <c r="M410" s="414"/>
      <c r="N410" s="414"/>
      <c r="O410" s="386">
        <f t="shared" si="7"/>
        <v>1</v>
      </c>
      <c r="P410" s="414">
        <v>1</v>
      </c>
      <c r="Q410" s="414">
        <v>1</v>
      </c>
      <c r="R410" s="414">
        <v>1</v>
      </c>
      <c r="S410" s="414">
        <v>1</v>
      </c>
      <c r="T410" s="414">
        <v>1</v>
      </c>
      <c r="U410" s="414"/>
      <c r="V410" s="414">
        <v>1</v>
      </c>
      <c r="W410" s="414">
        <v>1</v>
      </c>
      <c r="X410" s="414">
        <v>1</v>
      </c>
      <c r="Y410" s="414">
        <v>1</v>
      </c>
      <c r="Z410" s="414"/>
    </row>
    <row r="411" spans="2:26" s="413" customFormat="1" ht="11.25" customHeight="1" x14ac:dyDescent="0.25">
      <c r="B411" s="431">
        <v>408</v>
      </c>
      <c r="C411" s="437" t="s">
        <v>1558</v>
      </c>
      <c r="D411" s="438" t="s">
        <v>1571</v>
      </c>
      <c r="E411" s="431" t="s">
        <v>1572</v>
      </c>
      <c r="F411" s="468" t="str">
        <f>'MT-ETUS'!M44&amp;" : "&amp;'MT-ETUS'!O44&amp;" - "&amp;'MT-ETUS'!Q44&amp;" : "&amp;'MT-ETUS'!S44&amp;" - "&amp;'MT-ETUS'!U44&amp;" : "&amp;'MT-ETUS'!W44</f>
        <v xml:space="preserve">η0 :  - a1 :  - a2 : </v>
      </c>
      <c r="G411" s="466"/>
      <c r="H411" s="466"/>
      <c r="I411" s="467"/>
      <c r="J411" s="414"/>
      <c r="L411" s="414">
        <v>5</v>
      </c>
      <c r="M411" s="414"/>
      <c r="N411" s="414"/>
      <c r="O411" s="386">
        <f t="shared" si="7"/>
        <v>1</v>
      </c>
      <c r="P411" s="414">
        <v>0</v>
      </c>
      <c r="Q411" s="414">
        <v>0</v>
      </c>
      <c r="R411" s="414">
        <v>1</v>
      </c>
      <c r="S411" s="414">
        <v>1</v>
      </c>
      <c r="T411" s="414">
        <v>1</v>
      </c>
      <c r="U411" s="414"/>
      <c r="V411" s="414">
        <v>0</v>
      </c>
      <c r="W411" s="414">
        <v>1</v>
      </c>
      <c r="X411" s="414">
        <v>1</v>
      </c>
      <c r="Y411" s="414">
        <v>1</v>
      </c>
      <c r="Z411" s="414"/>
    </row>
    <row r="412" spans="2:26" s="413" customFormat="1" ht="11.25" customHeight="1" x14ac:dyDescent="0.25">
      <c r="B412" s="431">
        <v>409</v>
      </c>
      <c r="C412" s="437" t="s">
        <v>1558</v>
      </c>
      <c r="D412" s="438" t="s">
        <v>1573</v>
      </c>
      <c r="E412" s="431" t="s">
        <v>1574</v>
      </c>
      <c r="F412" s="468" t="str">
        <f>'MT-ETUS'!M45&amp;" : "&amp;'MT-ETUS'!O45&amp;" - "&amp;'MT-ETUS'!Q45&amp;" : "&amp;'MT-ETUS'!S45&amp;" - "&amp;'MT-ETUS'!U45&amp;" : "&amp;'MT-ETUS'!W45</f>
        <v xml:space="preserve">FR(Ta) : 0 - FRUL : 0 - MAI : </v>
      </c>
      <c r="G412" s="466"/>
      <c r="H412" s="466"/>
      <c r="I412" s="467"/>
      <c r="J412" s="414"/>
      <c r="L412" s="414">
        <v>5</v>
      </c>
      <c r="M412" s="414"/>
      <c r="N412" s="414"/>
      <c r="O412" s="386">
        <f t="shared" si="7"/>
        <v>1</v>
      </c>
      <c r="P412" s="414">
        <v>1</v>
      </c>
      <c r="Q412" s="414">
        <v>1</v>
      </c>
      <c r="R412" s="414">
        <v>1</v>
      </c>
      <c r="S412" s="414">
        <v>1</v>
      </c>
      <c r="T412" s="414">
        <v>1</v>
      </c>
      <c r="U412" s="414"/>
      <c r="V412" s="414">
        <v>1</v>
      </c>
      <c r="W412" s="414">
        <v>1</v>
      </c>
      <c r="X412" s="414">
        <v>1</v>
      </c>
      <c r="Y412" s="414">
        <v>1</v>
      </c>
      <c r="Z412" s="414"/>
    </row>
    <row r="413" spans="2:26" s="413" customFormat="1" ht="11.25" customHeight="1" x14ac:dyDescent="0.25">
      <c r="B413" s="431">
        <v>410</v>
      </c>
      <c r="C413" s="437" t="s">
        <v>1558</v>
      </c>
      <c r="D413" s="438" t="s">
        <v>163</v>
      </c>
      <c r="E413" s="431" t="s">
        <v>1575</v>
      </c>
      <c r="F413" s="470">
        <f>'MT-ETUS'!E47</f>
        <v>0</v>
      </c>
      <c r="G413" s="471"/>
      <c r="H413" s="471"/>
      <c r="I413" s="472"/>
      <c r="J413" s="414"/>
      <c r="L413" s="414">
        <v>5</v>
      </c>
      <c r="M413" s="414"/>
      <c r="N413" s="414"/>
      <c r="O413" s="386">
        <f t="shared" si="7"/>
        <v>1</v>
      </c>
      <c r="P413" s="414">
        <v>0</v>
      </c>
      <c r="Q413" s="414">
        <v>0</v>
      </c>
      <c r="R413" s="414">
        <v>1</v>
      </c>
      <c r="S413" s="414">
        <v>1</v>
      </c>
      <c r="T413" s="414">
        <v>1</v>
      </c>
      <c r="U413" s="414"/>
      <c r="V413" s="414">
        <v>0</v>
      </c>
      <c r="W413" s="414">
        <v>1</v>
      </c>
      <c r="X413" s="414">
        <v>1</v>
      </c>
      <c r="Y413" s="414">
        <v>1</v>
      </c>
      <c r="Z413" s="414"/>
    </row>
    <row r="414" spans="2:26" s="413" customFormat="1" ht="11.25" customHeight="1" x14ac:dyDescent="0.25">
      <c r="B414" s="431">
        <v>411</v>
      </c>
      <c r="C414" s="437" t="s">
        <v>1558</v>
      </c>
      <c r="D414" s="438" t="s">
        <v>1576</v>
      </c>
      <c r="E414" s="431" t="s">
        <v>1577</v>
      </c>
      <c r="F414" s="468">
        <f>'MT-ETUS'!I48</f>
        <v>0</v>
      </c>
      <c r="G414" s="466"/>
      <c r="H414" s="466"/>
      <c r="I414" s="467"/>
      <c r="J414" s="414"/>
      <c r="L414" s="414">
        <v>5</v>
      </c>
      <c r="M414" s="414"/>
      <c r="N414" s="414"/>
      <c r="O414" s="386">
        <f t="shared" si="7"/>
        <v>1</v>
      </c>
      <c r="P414" s="414">
        <v>0</v>
      </c>
      <c r="Q414" s="414">
        <v>0</v>
      </c>
      <c r="R414" s="414">
        <v>1</v>
      </c>
      <c r="S414" s="414">
        <v>1</v>
      </c>
      <c r="T414" s="414">
        <v>1</v>
      </c>
      <c r="U414" s="414"/>
      <c r="V414" s="414">
        <v>0</v>
      </c>
      <c r="W414" s="414">
        <v>1</v>
      </c>
      <c r="X414" s="414">
        <v>1</v>
      </c>
      <c r="Y414" s="414">
        <v>1</v>
      </c>
      <c r="Z414" s="414"/>
    </row>
    <row r="415" spans="2:26" s="413" customFormat="1" ht="11.25" customHeight="1" x14ac:dyDescent="0.25">
      <c r="B415" s="431">
        <v>412</v>
      </c>
      <c r="C415" s="437" t="s">
        <v>1558</v>
      </c>
      <c r="D415" s="438" t="s">
        <v>1578</v>
      </c>
      <c r="E415" s="431" t="s">
        <v>1577</v>
      </c>
      <c r="F415" s="468">
        <f>'MT-ETUS'!K48</f>
        <v>0</v>
      </c>
      <c r="G415" s="466"/>
      <c r="H415" s="466"/>
      <c r="I415" s="467"/>
      <c r="J415" s="414"/>
      <c r="L415" s="414">
        <v>5</v>
      </c>
      <c r="M415" s="414"/>
      <c r="N415" s="414"/>
      <c r="O415" s="386">
        <f t="shared" si="7"/>
        <v>1</v>
      </c>
      <c r="P415" s="414">
        <v>0</v>
      </c>
      <c r="Q415" s="414">
        <v>0</v>
      </c>
      <c r="R415" s="414">
        <v>1</v>
      </c>
      <c r="S415" s="414">
        <v>1</v>
      </c>
      <c r="T415" s="414">
        <v>1</v>
      </c>
      <c r="U415" s="414"/>
      <c r="V415" s="414">
        <v>0</v>
      </c>
      <c r="W415" s="414">
        <v>1</v>
      </c>
      <c r="X415" s="414">
        <v>1</v>
      </c>
      <c r="Y415" s="414">
        <v>1</v>
      </c>
      <c r="Z415" s="414"/>
    </row>
    <row r="416" spans="2:26" s="413" customFormat="1" ht="11.25" customHeight="1" x14ac:dyDescent="0.25">
      <c r="B416" s="431">
        <v>413</v>
      </c>
      <c r="C416" s="437" t="s">
        <v>1558</v>
      </c>
      <c r="D416" s="438" t="s">
        <v>1579</v>
      </c>
      <c r="E416" s="431" t="s">
        <v>1577</v>
      </c>
      <c r="F416" s="468" t="str">
        <f>'MT-ETUS'!Q48&amp;" J/kg.K y "&amp;'MT-ETUS'!S48&amp;" kg/litro"</f>
        <v xml:space="preserve"> J/kg.K y  kg/litro</v>
      </c>
      <c r="G416" s="466"/>
      <c r="H416" s="466"/>
      <c r="I416" s="467"/>
      <c r="J416" s="414"/>
      <c r="L416" s="414">
        <v>4</v>
      </c>
      <c r="M416" s="414"/>
      <c r="N416" s="414"/>
      <c r="O416" s="386">
        <f t="shared" si="7"/>
        <v>1</v>
      </c>
      <c r="P416" s="414">
        <v>0</v>
      </c>
      <c r="Q416" s="414">
        <v>0</v>
      </c>
      <c r="R416" s="414">
        <v>1</v>
      </c>
      <c r="S416" s="414">
        <v>1</v>
      </c>
      <c r="T416" s="414">
        <v>1</v>
      </c>
      <c r="U416" s="414"/>
      <c r="V416" s="414">
        <v>0</v>
      </c>
      <c r="W416" s="414">
        <v>1</v>
      </c>
      <c r="X416" s="414">
        <v>1</v>
      </c>
      <c r="Y416" s="414">
        <v>1</v>
      </c>
      <c r="Z416" s="414"/>
    </row>
    <row r="417" spans="2:26" s="413" customFormat="1" ht="11.25" customHeight="1" x14ac:dyDescent="0.25">
      <c r="B417" s="431">
        <v>414</v>
      </c>
      <c r="C417" s="437" t="s">
        <v>1558</v>
      </c>
      <c r="D417" s="438" t="s">
        <v>1580</v>
      </c>
      <c r="E417" s="431" t="s">
        <v>1581</v>
      </c>
      <c r="F417" s="468" t="str">
        <f>'MT-ETUS'!Q49&amp;" J/kg.K y "&amp;'MT-ETUS'!S49&amp;" kg/litro"</f>
        <v xml:space="preserve"> J/kg.K y  kg/litro</v>
      </c>
      <c r="G417" s="466"/>
      <c r="H417" s="466"/>
      <c r="I417" s="467"/>
      <c r="J417" s="414"/>
      <c r="L417" s="414">
        <v>4</v>
      </c>
      <c r="M417" s="414"/>
      <c r="N417" s="414"/>
      <c r="O417" s="386">
        <f t="shared" si="7"/>
        <v>1</v>
      </c>
      <c r="P417" s="414">
        <v>0</v>
      </c>
      <c r="Q417" s="414">
        <v>0</v>
      </c>
      <c r="R417" s="414">
        <v>1</v>
      </c>
      <c r="S417" s="414">
        <v>1</v>
      </c>
      <c r="T417" s="414">
        <v>1</v>
      </c>
      <c r="U417" s="414"/>
      <c r="V417" s="414">
        <v>0</v>
      </c>
      <c r="W417" s="414">
        <v>1</v>
      </c>
      <c r="X417" s="414">
        <v>1</v>
      </c>
      <c r="Y417" s="414">
        <v>1</v>
      </c>
      <c r="Z417" s="414"/>
    </row>
    <row r="418" spans="2:26" s="413" customFormat="1" ht="11.25" customHeight="1" x14ac:dyDescent="0.25">
      <c r="B418" s="431">
        <v>415</v>
      </c>
      <c r="C418" s="437" t="s">
        <v>1582</v>
      </c>
      <c r="D418" s="438" t="s">
        <v>1583</v>
      </c>
      <c r="E418" s="431" t="s">
        <v>1572</v>
      </c>
      <c r="F418" s="468" t="str">
        <f>'MT-ETUS'!J44</f>
        <v>ETUS</v>
      </c>
      <c r="G418" s="466"/>
      <c r="H418" s="466"/>
      <c r="I418" s="467"/>
      <c r="J418" s="414"/>
      <c r="L418" s="414">
        <v>5</v>
      </c>
      <c r="M418" s="414"/>
      <c r="N418" s="414"/>
      <c r="O418" s="386">
        <f t="shared" si="7"/>
        <v>1</v>
      </c>
      <c r="P418" s="414">
        <v>0</v>
      </c>
      <c r="Q418" s="414">
        <v>0</v>
      </c>
      <c r="R418" s="414">
        <v>1</v>
      </c>
      <c r="S418" s="414">
        <v>1</v>
      </c>
      <c r="T418" s="414">
        <v>1</v>
      </c>
      <c r="U418" s="414"/>
      <c r="V418" s="414">
        <v>0</v>
      </c>
      <c r="W418" s="414">
        <v>1</v>
      </c>
      <c r="X418" s="414">
        <v>1</v>
      </c>
      <c r="Y418" s="414">
        <v>1</v>
      </c>
      <c r="Z418" s="414"/>
    </row>
    <row r="419" spans="2:26" s="413" customFormat="1" ht="11.25" customHeight="1" x14ac:dyDescent="0.25">
      <c r="B419" s="431">
        <v>416</v>
      </c>
      <c r="C419" s="437" t="s">
        <v>1584</v>
      </c>
      <c r="D419" s="438" t="s">
        <v>1585</v>
      </c>
      <c r="E419" s="431" t="s">
        <v>1556</v>
      </c>
      <c r="F419" s="468" t="str">
        <f>'MT-ETUS'!G59&amp;" - Método: "&amp;'MT-ETUS'!S59</f>
        <v>Sólo ACS - Método: CALETUS v0.0</v>
      </c>
      <c r="G419" s="466"/>
      <c r="H419" s="466"/>
      <c r="I419" s="467"/>
      <c r="J419" s="414"/>
      <c r="L419" s="414">
        <v>0</v>
      </c>
      <c r="M419" s="414"/>
      <c r="N419" s="414"/>
      <c r="O419" s="386">
        <f t="shared" si="7"/>
        <v>1</v>
      </c>
      <c r="P419" s="414">
        <v>0</v>
      </c>
      <c r="Q419" s="414">
        <v>0</v>
      </c>
      <c r="R419" s="414">
        <v>1</v>
      </c>
      <c r="S419" s="414">
        <v>1</v>
      </c>
      <c r="T419" s="414">
        <v>1</v>
      </c>
      <c r="U419" s="414"/>
      <c r="V419" s="414">
        <v>0</v>
      </c>
      <c r="W419" s="414">
        <v>1</v>
      </c>
      <c r="X419" s="414">
        <v>1</v>
      </c>
      <c r="Y419" s="414">
        <v>1</v>
      </c>
      <c r="Z419" s="414"/>
    </row>
    <row r="420" spans="2:26" s="413" customFormat="1" ht="11.25" customHeight="1" x14ac:dyDescent="0.25">
      <c r="B420" s="431">
        <v>417</v>
      </c>
      <c r="C420" s="437" t="s">
        <v>1586</v>
      </c>
      <c r="D420" s="438" t="s">
        <v>1587</v>
      </c>
      <c r="E420" s="431" t="s">
        <v>1588</v>
      </c>
      <c r="F420" s="468">
        <f>'MT-ETUS'!O76</f>
        <v>1.2000000000000002E-5</v>
      </c>
      <c r="G420" s="466"/>
      <c r="H420" s="466"/>
      <c r="I420" s="467"/>
      <c r="J420" s="414"/>
      <c r="L420" s="414">
        <v>6</v>
      </c>
      <c r="M420" s="414"/>
      <c r="N420" s="414"/>
      <c r="O420" s="386">
        <f t="shared" si="7"/>
        <v>1</v>
      </c>
      <c r="P420" s="414">
        <v>1</v>
      </c>
      <c r="Q420" s="414">
        <v>1</v>
      </c>
      <c r="R420" s="414">
        <v>1</v>
      </c>
      <c r="S420" s="414">
        <v>1</v>
      </c>
      <c r="T420" s="414">
        <v>1</v>
      </c>
      <c r="U420" s="414"/>
      <c r="V420" s="414">
        <v>1</v>
      </c>
      <c r="W420" s="414">
        <v>1</v>
      </c>
      <c r="X420" s="414">
        <v>1</v>
      </c>
      <c r="Y420" s="414">
        <v>1</v>
      </c>
      <c r="Z420" s="414"/>
    </row>
    <row r="421" spans="2:26" s="413" customFormat="1" ht="11.25" customHeight="1" x14ac:dyDescent="0.25">
      <c r="B421" s="431">
        <v>418</v>
      </c>
      <c r="C421" s="437" t="s">
        <v>1586</v>
      </c>
      <c r="D421" s="438" t="s">
        <v>1589</v>
      </c>
      <c r="E421" s="431" t="s">
        <v>1588</v>
      </c>
      <c r="F421" s="468" t="e">
        <f>'MT-ETUS'!S76</f>
        <v>#DIV/0!</v>
      </c>
      <c r="G421" s="466"/>
      <c r="H421" s="466"/>
      <c r="I421" s="467"/>
      <c r="J421" s="414"/>
      <c r="L421" s="414">
        <v>6</v>
      </c>
      <c r="M421" s="414"/>
      <c r="N421" s="414"/>
      <c r="O421" s="386">
        <f t="shared" si="7"/>
        <v>1</v>
      </c>
      <c r="P421" s="414">
        <v>1</v>
      </c>
      <c r="Q421" s="414">
        <v>1</v>
      </c>
      <c r="R421" s="414">
        <v>1</v>
      </c>
      <c r="S421" s="414">
        <v>1</v>
      </c>
      <c r="T421" s="414">
        <v>1</v>
      </c>
      <c r="U421" s="414"/>
      <c r="V421" s="414">
        <v>1</v>
      </c>
      <c r="W421" s="414">
        <v>1</v>
      </c>
      <c r="X421" s="414">
        <v>1</v>
      </c>
      <c r="Y421" s="414">
        <v>1</v>
      </c>
      <c r="Z421" s="414"/>
    </row>
    <row r="422" spans="2:26" s="413" customFormat="1" ht="11.25" customHeight="1" x14ac:dyDescent="0.25">
      <c r="B422" s="431">
        <v>419</v>
      </c>
      <c r="C422" s="437" t="s">
        <v>1590</v>
      </c>
      <c r="D422" s="438" t="s">
        <v>1591</v>
      </c>
      <c r="E422" s="431" t="s">
        <v>1588</v>
      </c>
      <c r="F422" s="468" t="e">
        <f>'MT-ETUS'!Q76</f>
        <v>#DIV/0!</v>
      </c>
      <c r="G422" s="466"/>
      <c r="H422" s="466"/>
      <c r="I422" s="467"/>
      <c r="J422" s="414"/>
      <c r="L422" s="414">
        <v>6</v>
      </c>
      <c r="M422" s="414"/>
      <c r="N422" s="414"/>
      <c r="O422" s="386">
        <f t="shared" si="7"/>
        <v>1</v>
      </c>
      <c r="P422" s="414">
        <v>1</v>
      </c>
      <c r="Q422" s="414">
        <v>1</v>
      </c>
      <c r="R422" s="414">
        <v>1</v>
      </c>
      <c r="S422" s="414">
        <v>1</v>
      </c>
      <c r="T422" s="414">
        <v>1</v>
      </c>
      <c r="U422" s="414"/>
      <c r="V422" s="414">
        <v>1</v>
      </c>
      <c r="W422" s="414">
        <v>1</v>
      </c>
      <c r="X422" s="414">
        <v>1</v>
      </c>
      <c r="Y422" s="414">
        <v>1</v>
      </c>
      <c r="Z422" s="414"/>
    </row>
    <row r="423" spans="2:26" s="413" customFormat="1" ht="11.25" customHeight="1" x14ac:dyDescent="0.25">
      <c r="B423" s="431">
        <v>420</v>
      </c>
      <c r="C423" s="437" t="s">
        <v>238</v>
      </c>
      <c r="D423" s="438" t="s">
        <v>1592</v>
      </c>
      <c r="E423" s="431" t="s">
        <v>238</v>
      </c>
      <c r="F423" s="512" t="s">
        <v>1593</v>
      </c>
      <c r="G423" s="439"/>
      <c r="H423" s="439"/>
      <c r="I423" s="440"/>
      <c r="J423" s="414"/>
      <c r="K423" s="413" t="s">
        <v>1594</v>
      </c>
      <c r="L423" s="414">
        <v>6</v>
      </c>
      <c r="M423" s="414"/>
      <c r="N423" s="414"/>
      <c r="O423" s="386">
        <f t="shared" si="7"/>
        <v>1</v>
      </c>
      <c r="P423" s="414">
        <v>1</v>
      </c>
      <c r="Q423" s="414">
        <v>1</v>
      </c>
      <c r="R423" s="414">
        <v>1</v>
      </c>
      <c r="S423" s="414">
        <v>1</v>
      </c>
      <c r="T423" s="414">
        <v>1</v>
      </c>
      <c r="U423" s="414"/>
      <c r="V423" s="414">
        <v>1</v>
      </c>
      <c r="W423" s="414">
        <v>1</v>
      </c>
      <c r="X423" s="414">
        <v>1</v>
      </c>
      <c r="Y423" s="414">
        <v>1</v>
      </c>
      <c r="Z423" s="414"/>
    </row>
    <row r="424" spans="2:26" s="413" customFormat="1" ht="11.25" customHeight="1" x14ac:dyDescent="0.25">
      <c r="B424" s="431"/>
      <c r="C424" s="437"/>
      <c r="D424" s="438"/>
      <c r="E424" s="431"/>
      <c r="F424" s="438"/>
      <c r="G424" s="473"/>
      <c r="H424" s="473"/>
      <c r="I424" s="441"/>
      <c r="J424" s="414"/>
      <c r="L424" s="431"/>
      <c r="M424" s="431"/>
      <c r="N424" s="414"/>
      <c r="O424" s="414"/>
      <c r="P424" s="414"/>
      <c r="Q424" s="966" t="s">
        <v>564</v>
      </c>
      <c r="R424" s="967"/>
      <c r="S424" s="967"/>
      <c r="T424" s="968"/>
      <c r="U424" s="411"/>
      <c r="V424" s="966" t="s">
        <v>565</v>
      </c>
      <c r="W424" s="967"/>
      <c r="X424" s="967"/>
      <c r="Y424" s="968"/>
      <c r="Z424" s="414"/>
    </row>
    <row r="425" spans="2:26" s="413" customFormat="1" ht="11.25" customHeight="1" x14ac:dyDescent="0.25">
      <c r="B425" s="414"/>
      <c r="C425" s="415"/>
      <c r="E425" s="414"/>
      <c r="F425" s="474" t="s">
        <v>1595</v>
      </c>
      <c r="G425" s="475"/>
      <c r="H425" s="475"/>
      <c r="I425" s="476"/>
      <c r="J425" s="475"/>
      <c r="K425" s="476"/>
      <c r="L425" s="475"/>
      <c r="M425" s="475"/>
      <c r="N425" s="477"/>
      <c r="O425" s="414"/>
      <c r="P425" s="414" t="s">
        <v>569</v>
      </c>
      <c r="Q425" s="414" t="s">
        <v>568</v>
      </c>
      <c r="R425" s="414" t="s">
        <v>567</v>
      </c>
      <c r="S425" s="414" t="s">
        <v>566</v>
      </c>
      <c r="T425" s="414" t="s">
        <v>573</v>
      </c>
      <c r="U425" s="414"/>
      <c r="V425" s="414" t="s">
        <v>572</v>
      </c>
      <c r="W425" s="414" t="s">
        <v>571</v>
      </c>
      <c r="X425" s="414" t="s">
        <v>570</v>
      </c>
      <c r="Y425" s="414" t="s">
        <v>574</v>
      </c>
      <c r="Z425" s="414"/>
    </row>
    <row r="426" spans="2:26" s="413" customFormat="1" ht="11.25" customHeight="1" x14ac:dyDescent="0.25">
      <c r="B426" s="414"/>
      <c r="C426" s="415"/>
      <c r="E426" s="414"/>
      <c r="F426" s="478" t="s">
        <v>1596</v>
      </c>
      <c r="G426" s="479"/>
      <c r="H426" s="479"/>
      <c r="I426" s="480"/>
      <c r="J426" s="479" t="s">
        <v>1597</v>
      </c>
      <c r="K426" s="480" t="s">
        <v>1598</v>
      </c>
      <c r="L426" s="479"/>
      <c r="M426" s="479"/>
      <c r="N426" s="481"/>
      <c r="P426" s="414">
        <f>COUNTIF(P4:P423,$Z426)</f>
        <v>67</v>
      </c>
      <c r="Q426" s="414">
        <f>COUNTIF(Q4:Q423,$Z426)</f>
        <v>119</v>
      </c>
      <c r="R426" s="414">
        <f>COUNTIF(R4:R423,$Z426)</f>
        <v>333</v>
      </c>
      <c r="S426" s="414">
        <f>COUNTIF(S4:S423,$Z426)</f>
        <v>388</v>
      </c>
      <c r="T426" s="414">
        <f>COUNTIF(T4:T423,$Z426)</f>
        <v>399</v>
      </c>
      <c r="U426" s="414"/>
      <c r="V426" s="414">
        <f>COUNTIF(V4:V423,$Z426)</f>
        <v>89</v>
      </c>
      <c r="W426" s="414">
        <f>COUNTIF(W4:W423,$Z426)</f>
        <v>148</v>
      </c>
      <c r="X426" s="414">
        <f>COUNTIF(X4:X423,$Z426)</f>
        <v>180</v>
      </c>
      <c r="Y426" s="414">
        <f>COUNTIF(Y4:Y423,$Z426)</f>
        <v>187</v>
      </c>
      <c r="Z426" s="414">
        <v>1</v>
      </c>
    </row>
    <row r="427" spans="2:26" s="413" customFormat="1" ht="11.25" customHeight="1" x14ac:dyDescent="0.25">
      <c r="B427" s="414"/>
      <c r="C427" s="415"/>
      <c r="E427" s="414"/>
      <c r="F427" s="482"/>
      <c r="G427" s="416"/>
      <c r="H427" s="416"/>
      <c r="I427" s="417"/>
      <c r="J427" s="416"/>
      <c r="K427" s="417"/>
      <c r="L427" s="416"/>
      <c r="M427" s="510"/>
      <c r="N427" s="483"/>
      <c r="P427" s="414">
        <f>COUNTIF(P4:P423,$Z427)</f>
        <v>346</v>
      </c>
      <c r="Q427" s="414">
        <f>COUNTIF(Q4:Q423,$Z427)</f>
        <v>294</v>
      </c>
      <c r="R427" s="414">
        <f>COUNTIF(R4:R423,$Z427)</f>
        <v>80</v>
      </c>
      <c r="S427" s="414">
        <f>COUNTIF(S4:S423,$Z427)</f>
        <v>25</v>
      </c>
      <c r="T427" s="414">
        <f>COUNTIF(T4:T423,$Z427)</f>
        <v>14</v>
      </c>
      <c r="U427" s="414"/>
      <c r="V427" s="414">
        <f>COUNTIF(V4:V423,$Z427)</f>
        <v>324</v>
      </c>
      <c r="W427" s="414">
        <f>COUNTIF(W4:W423,$Z427)</f>
        <v>265</v>
      </c>
      <c r="X427" s="414">
        <f>COUNTIF(X4:X423,$Z427)</f>
        <v>233</v>
      </c>
      <c r="Y427" s="414">
        <f>COUNTIF(Y4:Y423,$Z427)</f>
        <v>226</v>
      </c>
      <c r="Z427" s="414">
        <v>0</v>
      </c>
    </row>
    <row r="428" spans="2:26" s="413" customFormat="1" ht="11.25" customHeight="1" x14ac:dyDescent="0.25">
      <c r="B428" s="414"/>
      <c r="C428" s="415"/>
      <c r="F428" s="482" t="s">
        <v>1599</v>
      </c>
      <c r="G428" s="416"/>
      <c r="H428" s="416"/>
      <c r="I428" s="417"/>
      <c r="J428" s="416">
        <f t="shared" ref="J428:J434" si="8">COUNTIF(L$4:L$423,L428)</f>
        <v>43</v>
      </c>
      <c r="K428" s="417" t="s">
        <v>1600</v>
      </c>
      <c r="L428" s="416">
        <v>0</v>
      </c>
      <c r="M428" s="510"/>
      <c r="N428" s="483"/>
      <c r="P428" s="414">
        <f>COUNTIF(P4:P423,$Z428)</f>
        <v>7</v>
      </c>
      <c r="Q428" s="414">
        <f>COUNTIF(Q4:Q423,$Z428)</f>
        <v>7</v>
      </c>
      <c r="R428" s="414">
        <f>COUNTIF(R4:R423,$Z428)</f>
        <v>7</v>
      </c>
      <c r="S428" s="414">
        <f>COUNTIF(S4:S423,$Z428)</f>
        <v>7</v>
      </c>
      <c r="T428" s="414">
        <f>COUNTIF(T4:T423,$Z428)</f>
        <v>7</v>
      </c>
      <c r="U428" s="414"/>
      <c r="V428" s="414">
        <f>COUNTIF(V4:V423,$Z428)</f>
        <v>7</v>
      </c>
      <c r="W428" s="414">
        <f>COUNTIF(W4:W423,$Z428)</f>
        <v>7</v>
      </c>
      <c r="X428" s="414">
        <f>COUNTIF(X4:X423,$Z428)</f>
        <v>7</v>
      </c>
      <c r="Y428" s="414">
        <f>COUNTIF(Y4:Y423,$Z428)</f>
        <v>7</v>
      </c>
      <c r="Z428" s="414" t="s">
        <v>2</v>
      </c>
    </row>
    <row r="429" spans="2:26" s="413" customFormat="1" ht="11.25" customHeight="1" x14ac:dyDescent="0.25">
      <c r="B429" s="414"/>
      <c r="C429" s="415"/>
      <c r="F429" s="482" t="s">
        <v>1845</v>
      </c>
      <c r="G429" s="416"/>
      <c r="H429" s="416"/>
      <c r="I429" s="417"/>
      <c r="J429" s="416">
        <f t="shared" si="8"/>
        <v>6</v>
      </c>
      <c r="K429" s="417" t="s">
        <v>1846</v>
      </c>
      <c r="L429" s="416">
        <v>1</v>
      </c>
      <c r="M429" s="510"/>
      <c r="N429" s="483">
        <f>SUM(N4:N423)</f>
        <v>125</v>
      </c>
      <c r="P429" s="414">
        <f>SUM(P426:P428)</f>
        <v>420</v>
      </c>
      <c r="Q429" s="414">
        <f t="shared" ref="Q429:Y429" si="9">SUM(Q426:Q428)</f>
        <v>420</v>
      </c>
      <c r="R429" s="414">
        <f t="shared" si="9"/>
        <v>420</v>
      </c>
      <c r="S429" s="414">
        <f t="shared" si="9"/>
        <v>420</v>
      </c>
      <c r="T429" s="414">
        <f t="shared" si="9"/>
        <v>420</v>
      </c>
      <c r="U429" s="414"/>
      <c r="V429" s="414">
        <f t="shared" si="9"/>
        <v>420</v>
      </c>
      <c r="W429" s="414">
        <f t="shared" si="9"/>
        <v>420</v>
      </c>
      <c r="X429" s="414">
        <f t="shared" si="9"/>
        <v>420</v>
      </c>
      <c r="Y429" s="414">
        <f t="shared" si="9"/>
        <v>420</v>
      </c>
      <c r="Z429" s="414" t="s">
        <v>1601</v>
      </c>
    </row>
    <row r="430" spans="2:26" s="413" customFormat="1" ht="11.25" customHeight="1" x14ac:dyDescent="0.25">
      <c r="B430" s="414"/>
      <c r="C430" s="415"/>
      <c r="F430" s="482" t="s">
        <v>1864</v>
      </c>
      <c r="G430" s="416"/>
      <c r="H430" s="416"/>
      <c r="I430" s="417"/>
      <c r="J430" s="416">
        <f t="shared" si="8"/>
        <v>56</v>
      </c>
      <c r="K430" s="417" t="s">
        <v>1865</v>
      </c>
      <c r="L430" s="416">
        <v>2</v>
      </c>
      <c r="M430" s="510"/>
      <c r="N430" s="483"/>
      <c r="O430" s="414"/>
      <c r="P430" s="414"/>
      <c r="Q430" s="414"/>
      <c r="R430" s="414"/>
      <c r="S430" s="414"/>
      <c r="T430" s="414"/>
      <c r="U430" s="430"/>
      <c r="V430" s="414"/>
      <c r="W430" s="414"/>
      <c r="X430" s="414"/>
      <c r="Y430" s="414"/>
      <c r="Z430" s="414"/>
    </row>
    <row r="431" spans="2:26" s="413" customFormat="1" ht="11.25" customHeight="1" x14ac:dyDescent="0.25">
      <c r="B431" s="414"/>
      <c r="C431" s="415"/>
      <c r="F431" s="482" t="s">
        <v>1866</v>
      </c>
      <c r="G431" s="416"/>
      <c r="H431" s="416"/>
      <c r="I431" s="417"/>
      <c r="J431" s="416">
        <f t="shared" si="8"/>
        <v>0</v>
      </c>
      <c r="K431" s="417" t="s">
        <v>1867</v>
      </c>
      <c r="L431" s="416">
        <v>3</v>
      </c>
      <c r="M431" s="510"/>
      <c r="N431" s="483"/>
      <c r="O431" s="414"/>
      <c r="P431" s="414"/>
      <c r="Q431" s="414"/>
      <c r="R431" s="414"/>
      <c r="S431" s="414"/>
      <c r="T431" s="414"/>
      <c r="U431" s="430"/>
      <c r="V431" s="414"/>
      <c r="W431" s="414"/>
      <c r="X431" s="414"/>
      <c r="Y431" s="414"/>
      <c r="Z431" s="414"/>
    </row>
    <row r="432" spans="2:26" s="413" customFormat="1" ht="11.25" customHeight="1" x14ac:dyDescent="0.25">
      <c r="B432" s="414"/>
      <c r="C432" s="415"/>
      <c r="F432" s="482" t="s">
        <v>1862</v>
      </c>
      <c r="G432" s="416"/>
      <c r="H432" s="416"/>
      <c r="I432" s="417"/>
      <c r="J432" s="416">
        <f t="shared" si="8"/>
        <v>137</v>
      </c>
      <c r="K432" s="417" t="s">
        <v>1828</v>
      </c>
      <c r="L432" s="416">
        <v>4</v>
      </c>
      <c r="M432" s="510"/>
      <c r="N432" s="483"/>
      <c r="O432" s="414"/>
      <c r="P432" s="414"/>
      <c r="Q432" s="414"/>
      <c r="R432" s="414"/>
      <c r="S432" s="414"/>
      <c r="T432" s="414"/>
      <c r="U432" s="430"/>
      <c r="V432" s="414"/>
      <c r="W432" s="414"/>
      <c r="X432" s="414"/>
      <c r="Y432" s="414"/>
      <c r="Z432" s="414"/>
    </row>
    <row r="433" spans="2:26" s="413" customFormat="1" ht="11.25" customHeight="1" x14ac:dyDescent="0.25">
      <c r="B433" s="414"/>
      <c r="C433" s="415"/>
      <c r="F433" s="482" t="s">
        <v>1863</v>
      </c>
      <c r="G433" s="416"/>
      <c r="H433" s="416"/>
      <c r="I433" s="417"/>
      <c r="J433" s="416">
        <f t="shared" si="8"/>
        <v>138</v>
      </c>
      <c r="K433" s="417" t="s">
        <v>1602</v>
      </c>
      <c r="L433" s="416">
        <v>5</v>
      </c>
      <c r="M433" s="510"/>
      <c r="N433" s="483"/>
      <c r="O433" s="414"/>
      <c r="P433" s="414"/>
      <c r="Q433" s="414"/>
      <c r="R433" s="414"/>
      <c r="S433" s="414"/>
      <c r="T433" s="414"/>
      <c r="U433" s="430"/>
      <c r="V433" s="414"/>
      <c r="W433" s="414"/>
      <c r="X433" s="414"/>
      <c r="Y433" s="414"/>
      <c r="Z433" s="414"/>
    </row>
    <row r="434" spans="2:26" s="413" customFormat="1" ht="11.25" customHeight="1" x14ac:dyDescent="0.25">
      <c r="B434" s="414"/>
      <c r="C434" s="415"/>
      <c r="F434" s="482" t="s">
        <v>1603</v>
      </c>
      <c r="G434" s="416"/>
      <c r="H434" s="416"/>
      <c r="I434" s="417"/>
      <c r="J434" s="416">
        <f t="shared" si="8"/>
        <v>40</v>
      </c>
      <c r="K434" s="417" t="s">
        <v>1604</v>
      </c>
      <c r="L434" s="416">
        <v>6</v>
      </c>
      <c r="M434" s="510"/>
      <c r="N434" s="483"/>
      <c r="O434" s="414"/>
      <c r="P434" s="414"/>
      <c r="Q434" s="414"/>
      <c r="R434" s="414"/>
      <c r="S434" s="414"/>
      <c r="T434" s="414"/>
      <c r="U434" s="430"/>
      <c r="V434" s="414"/>
      <c r="W434" s="414"/>
      <c r="X434" s="414"/>
      <c r="Y434" s="414"/>
      <c r="Z434" s="414"/>
    </row>
    <row r="435" spans="2:26" s="413" customFormat="1" ht="11.25" customHeight="1" x14ac:dyDescent="0.25">
      <c r="B435" s="414"/>
      <c r="C435" s="415"/>
      <c r="F435" s="482"/>
      <c r="G435" s="416"/>
      <c r="H435" s="416"/>
      <c r="I435" s="417"/>
      <c r="J435" s="416"/>
      <c r="K435" s="417"/>
      <c r="L435" s="416"/>
      <c r="M435" s="510"/>
      <c r="N435" s="483"/>
      <c r="O435" s="414"/>
      <c r="P435" s="414"/>
      <c r="Q435" s="414"/>
      <c r="R435" s="414"/>
      <c r="S435" s="414"/>
      <c r="T435" s="414"/>
      <c r="U435" s="430"/>
      <c r="V435" s="414"/>
      <c r="W435" s="414"/>
      <c r="X435" s="414"/>
      <c r="Y435" s="414"/>
      <c r="Z435" s="414"/>
    </row>
    <row r="436" spans="2:26" s="413" customFormat="1" ht="11.25" customHeight="1" x14ac:dyDescent="0.25">
      <c r="B436" s="414"/>
      <c r="C436" s="415"/>
      <c r="F436" s="484"/>
      <c r="G436" s="485"/>
      <c r="H436" s="485"/>
      <c r="I436" s="486"/>
      <c r="J436" s="485">
        <f>SUM(J428:J435)</f>
        <v>420</v>
      </c>
      <c r="K436" s="486"/>
      <c r="L436" s="485"/>
      <c r="M436" s="485"/>
      <c r="N436" s="487"/>
      <c r="O436" s="414"/>
      <c r="P436" s="414"/>
      <c r="Q436" s="414"/>
      <c r="R436" s="414"/>
      <c r="S436" s="414"/>
      <c r="T436" s="414"/>
      <c r="U436" s="430"/>
      <c r="V436" s="414"/>
      <c r="W436" s="414"/>
      <c r="X436" s="414"/>
      <c r="Y436" s="414"/>
      <c r="Z436" s="414"/>
    </row>
  </sheetData>
  <customSheetViews>
    <customSheetView guid="{FE4792CB-B919-4F54-9754-D4BC1B90FDF0}" state="hidden" topLeftCell="A10">
      <selection activeCell="L1" sqref="L1"/>
      <pageMargins left="0.39370078740157483" right="0.39370078740157483" top="0.39370078740157483" bottom="0.39370078740157483" header="0.59055118110236227" footer="0.59055118110236227"/>
      <printOptions horizontalCentered="1"/>
      <pageSetup paperSize="9" orientation="portrait" horizontalDpi="300" verticalDpi="0" r:id="rId1"/>
    </customSheetView>
  </customSheetViews>
  <mergeCells count="4">
    <mergeCell ref="B2:F2"/>
    <mergeCell ref="G2:I2"/>
    <mergeCell ref="Q424:T424"/>
    <mergeCell ref="V424:Y424"/>
  </mergeCells>
  <printOptions horizontalCentered="1"/>
  <pageMargins left="0.39370078740157483" right="0.39370078740157483" top="0.39370078740157483" bottom="0.39370078740157483" header="0.59055118110236227" footer="0.59055118110236227"/>
  <pageSetup paperSize="9" orientation="portrait" horizontalDpi="300" verticalDpi="0"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6"/>
  <sheetViews>
    <sheetView workbookViewId="0">
      <selection activeCell="I2" sqref="I2"/>
    </sheetView>
  </sheetViews>
  <sheetFormatPr baseColWidth="10" defaultRowHeight="11.25" x14ac:dyDescent="0.2"/>
  <cols>
    <col min="1" max="1" width="4" style="489" customWidth="1"/>
    <col min="2" max="2" width="3.7109375" style="488" customWidth="1"/>
    <col min="3" max="3" width="60.85546875" style="488" customWidth="1"/>
    <col min="4" max="6" width="2.7109375" style="491" customWidth="1"/>
    <col min="7" max="7" width="14.28515625" style="498" customWidth="1"/>
    <col min="8" max="8" width="36.28515625" style="488" customWidth="1"/>
    <col min="9" max="17" width="3.7109375" style="488" customWidth="1"/>
    <col min="18" max="18" width="2" style="488" customWidth="1"/>
    <col min="19" max="22" width="3.7109375" style="488" customWidth="1"/>
    <col min="23" max="23" width="3.42578125" style="488" customWidth="1"/>
    <col min="24" max="16384" width="11.42578125" style="488"/>
  </cols>
  <sheetData>
    <row r="1" spans="1:22" ht="12.75" x14ac:dyDescent="0.2">
      <c r="A1" s="429">
        <f>'MT-ETUS'!Z3</f>
        <v>5</v>
      </c>
      <c r="B1" s="970" t="s">
        <v>1605</v>
      </c>
      <c r="C1" s="971"/>
      <c r="D1" s="493" t="s">
        <v>728</v>
      </c>
      <c r="E1" s="493" t="s">
        <v>833</v>
      </c>
      <c r="F1" s="494" t="s">
        <v>834</v>
      </c>
      <c r="G1" s="495" t="s">
        <v>1606</v>
      </c>
      <c r="H1" s="496" t="s">
        <v>836</v>
      </c>
      <c r="I1" s="414"/>
      <c r="J1" s="414"/>
      <c r="K1" s="414"/>
      <c r="L1" s="414" t="s">
        <v>827</v>
      </c>
      <c r="M1" s="413"/>
      <c r="N1" s="418" t="s">
        <v>564</v>
      </c>
      <c r="O1" s="418"/>
      <c r="P1" s="418"/>
      <c r="Q1" s="418"/>
      <c r="R1" s="411"/>
      <c r="S1" s="412" t="s">
        <v>565</v>
      </c>
      <c r="T1" s="25"/>
      <c r="U1" s="25"/>
      <c r="V1" s="26"/>
    </row>
    <row r="2" spans="1:22" x14ac:dyDescent="0.2">
      <c r="A2" s="972" t="s">
        <v>1607</v>
      </c>
      <c r="B2" s="488" t="s">
        <v>1608</v>
      </c>
      <c r="D2" s="497"/>
      <c r="E2" s="497"/>
      <c r="F2" s="497"/>
      <c r="I2" s="414"/>
      <c r="J2" s="414"/>
      <c r="K2" s="414"/>
      <c r="L2" s="414"/>
      <c r="M2" s="414" t="s">
        <v>569</v>
      </c>
      <c r="N2" s="414" t="s">
        <v>568</v>
      </c>
      <c r="O2" s="414" t="s">
        <v>567</v>
      </c>
      <c r="P2" s="414" t="s">
        <v>566</v>
      </c>
      <c r="Q2" s="414" t="s">
        <v>573</v>
      </c>
      <c r="R2" s="414"/>
      <c r="S2" s="414" t="s">
        <v>572</v>
      </c>
      <c r="T2" s="414" t="s">
        <v>571</v>
      </c>
      <c r="U2" s="414" t="s">
        <v>570</v>
      </c>
      <c r="V2" s="414" t="s">
        <v>574</v>
      </c>
    </row>
    <row r="3" spans="1:22" ht="11.25" customHeight="1" x14ac:dyDescent="0.2">
      <c r="A3" s="973"/>
      <c r="B3" s="488" t="s">
        <v>1609</v>
      </c>
      <c r="D3" s="497"/>
      <c r="E3" s="497"/>
      <c r="F3" s="497"/>
      <c r="I3" s="416"/>
      <c r="J3" s="524"/>
      <c r="K3" s="428"/>
      <c r="L3" s="429">
        <f>'MT-ETUS'!Z3</f>
        <v>5</v>
      </c>
      <c r="M3" s="414">
        <v>1</v>
      </c>
      <c r="N3" s="414">
        <v>2</v>
      </c>
      <c r="O3" s="414">
        <v>3</v>
      </c>
      <c r="P3" s="414">
        <v>4</v>
      </c>
      <c r="Q3" s="414">
        <v>5</v>
      </c>
      <c r="R3" s="430"/>
      <c r="S3" s="414">
        <v>6</v>
      </c>
      <c r="T3" s="414">
        <v>7</v>
      </c>
      <c r="U3" s="414">
        <v>8</v>
      </c>
      <c r="V3" s="414">
        <v>9</v>
      </c>
    </row>
    <row r="4" spans="1:22" x14ac:dyDescent="0.2">
      <c r="A4" s="973"/>
      <c r="B4" s="488" t="s">
        <v>1610</v>
      </c>
      <c r="D4" s="497"/>
      <c r="E4" s="497"/>
      <c r="F4" s="497"/>
      <c r="I4" s="414"/>
      <c r="J4" s="414"/>
      <c r="K4" s="428"/>
      <c r="L4" s="386">
        <f t="shared" ref="L4:L35" si="0">IF(L$3=0,0,IF(L$3=1,M4,IF(L$3=2,N4,IF(L$3=3,O4,IF(L$3=4,P4,IF(L$3=5,Q4,IF(L$3=6,S4,IF(L$3=7,T4,IF(L$3=8,U4,IF(L$3=9,V4,0))))))))))</f>
        <v>0</v>
      </c>
      <c r="M4" s="414"/>
      <c r="N4" s="414"/>
      <c r="O4" s="414"/>
      <c r="P4" s="414"/>
      <c r="Q4" s="414"/>
      <c r="R4" s="414"/>
      <c r="S4" s="414"/>
      <c r="T4" s="414"/>
      <c r="U4" s="414"/>
      <c r="V4" s="414"/>
    </row>
    <row r="5" spans="1:22" x14ac:dyDescent="0.2">
      <c r="A5" s="973"/>
      <c r="B5" s="488" t="s">
        <v>1611</v>
      </c>
      <c r="D5" s="497"/>
      <c r="E5" s="497"/>
      <c r="F5" s="497"/>
      <c r="I5" s="414"/>
      <c r="J5" s="414"/>
      <c r="K5" s="414"/>
      <c r="L5" s="386">
        <f t="shared" si="0"/>
        <v>0</v>
      </c>
      <c r="M5" s="414"/>
      <c r="N5" s="414"/>
      <c r="O5" s="414"/>
      <c r="P5" s="414"/>
      <c r="Q5" s="414"/>
      <c r="R5" s="414"/>
      <c r="S5" s="414"/>
      <c r="T5" s="414"/>
      <c r="U5" s="414"/>
      <c r="V5" s="414"/>
    </row>
    <row r="6" spans="1:22" x14ac:dyDescent="0.2">
      <c r="A6" s="973"/>
      <c r="B6" s="488" t="s">
        <v>1612</v>
      </c>
      <c r="D6" s="497"/>
      <c r="E6" s="497"/>
      <c r="F6" s="497"/>
      <c r="L6" s="386">
        <f t="shared" si="0"/>
        <v>0</v>
      </c>
    </row>
    <row r="7" spans="1:22" x14ac:dyDescent="0.2">
      <c r="A7" s="973"/>
      <c r="B7" s="499" t="s">
        <v>1613</v>
      </c>
      <c r="C7" s="499"/>
      <c r="D7" s="497"/>
      <c r="E7" s="497"/>
      <c r="F7" s="497"/>
      <c r="L7" s="386">
        <f t="shared" si="0"/>
        <v>0</v>
      </c>
    </row>
    <row r="8" spans="1:22" x14ac:dyDescent="0.2">
      <c r="A8" s="973"/>
      <c r="B8" s="488" t="s">
        <v>1614</v>
      </c>
      <c r="D8" s="497"/>
      <c r="E8" s="497"/>
      <c r="F8" s="497"/>
      <c r="L8" s="386">
        <f t="shared" si="0"/>
        <v>0</v>
      </c>
    </row>
    <row r="9" spans="1:22" x14ac:dyDescent="0.2">
      <c r="A9" s="973"/>
      <c r="B9" s="488" t="s">
        <v>1615</v>
      </c>
      <c r="D9" s="497"/>
      <c r="E9" s="497"/>
      <c r="F9" s="497"/>
      <c r="L9" s="386">
        <f t="shared" si="0"/>
        <v>0</v>
      </c>
    </row>
    <row r="10" spans="1:22" x14ac:dyDescent="0.2">
      <c r="A10" s="974"/>
      <c r="B10" s="488" t="s">
        <v>1616</v>
      </c>
      <c r="D10" s="497"/>
      <c r="E10" s="497"/>
      <c r="F10" s="497"/>
      <c r="L10" s="386">
        <f t="shared" si="0"/>
        <v>0</v>
      </c>
    </row>
    <row r="11" spans="1:22" s="496" customFormat="1" x14ac:dyDescent="0.2">
      <c r="A11" s="500">
        <v>1</v>
      </c>
      <c r="B11" s="969" t="s">
        <v>1617</v>
      </c>
      <c r="C11" s="969"/>
      <c r="D11" s="501"/>
      <c r="E11" s="501"/>
      <c r="F11" s="501"/>
      <c r="G11" s="502"/>
      <c r="L11" s="386" t="str">
        <f t="shared" si="0"/>
        <v>x</v>
      </c>
      <c r="M11" s="428" t="s">
        <v>2</v>
      </c>
      <c r="N11" s="428" t="s">
        <v>2</v>
      </c>
      <c r="O11" s="428" t="s">
        <v>2</v>
      </c>
      <c r="P11" s="428" t="s">
        <v>2</v>
      </c>
      <c r="Q11" s="428" t="s">
        <v>2</v>
      </c>
      <c r="R11" s="428"/>
      <c r="S11" s="428" t="s">
        <v>2</v>
      </c>
      <c r="T11" s="428" t="s">
        <v>2</v>
      </c>
      <c r="U11" s="428" t="s">
        <v>2</v>
      </c>
      <c r="V11" s="428" t="s">
        <v>2</v>
      </c>
    </row>
    <row r="12" spans="1:22" x14ac:dyDescent="0.2">
      <c r="B12" s="503">
        <v>11</v>
      </c>
      <c r="C12" s="488" t="s">
        <v>1869</v>
      </c>
      <c r="D12" s="504"/>
      <c r="E12" s="497"/>
      <c r="F12" s="497"/>
      <c r="G12" s="505"/>
      <c r="L12" s="386">
        <f t="shared" si="0"/>
        <v>1</v>
      </c>
      <c r="M12" s="489">
        <v>0</v>
      </c>
      <c r="N12" s="489">
        <v>0</v>
      </c>
      <c r="O12" s="489">
        <v>1</v>
      </c>
      <c r="P12" s="489">
        <v>1</v>
      </c>
      <c r="Q12" s="489">
        <v>1</v>
      </c>
      <c r="S12" s="489">
        <v>0</v>
      </c>
      <c r="T12" s="489">
        <v>1</v>
      </c>
      <c r="U12" s="489">
        <v>1</v>
      </c>
      <c r="V12" s="489">
        <v>1</v>
      </c>
    </row>
    <row r="13" spans="1:22" x14ac:dyDescent="0.2">
      <c r="B13" s="503">
        <v>12</v>
      </c>
      <c r="C13" s="503" t="s">
        <v>1618</v>
      </c>
      <c r="D13" s="504"/>
      <c r="E13" s="497"/>
      <c r="F13" s="497"/>
      <c r="L13" s="386">
        <f t="shared" si="0"/>
        <v>1</v>
      </c>
      <c r="M13" s="489">
        <v>1</v>
      </c>
      <c r="N13" s="489">
        <v>1</v>
      </c>
      <c r="O13" s="489">
        <v>1</v>
      </c>
      <c r="P13" s="489">
        <v>1</v>
      </c>
      <c r="Q13" s="489">
        <v>1</v>
      </c>
      <c r="S13" s="489">
        <v>1</v>
      </c>
      <c r="T13" s="489">
        <v>1</v>
      </c>
      <c r="U13" s="489">
        <v>1</v>
      </c>
      <c r="V13" s="489">
        <v>1</v>
      </c>
    </row>
    <row r="14" spans="1:22" x14ac:dyDescent="0.2">
      <c r="B14" s="503">
        <v>13</v>
      </c>
      <c r="C14" s="503" t="s">
        <v>1619</v>
      </c>
      <c r="D14" s="504"/>
      <c r="E14" s="497"/>
      <c r="F14" s="497"/>
      <c r="L14" s="386">
        <f t="shared" si="0"/>
        <v>1</v>
      </c>
      <c r="M14" s="489">
        <v>1</v>
      </c>
      <c r="N14" s="489">
        <v>1</v>
      </c>
      <c r="O14" s="489">
        <v>1</v>
      </c>
      <c r="P14" s="489">
        <v>1</v>
      </c>
      <c r="Q14" s="489">
        <v>1</v>
      </c>
      <c r="S14" s="489">
        <v>1</v>
      </c>
      <c r="T14" s="489">
        <v>1</v>
      </c>
      <c r="U14" s="489">
        <v>1</v>
      </c>
      <c r="V14" s="489">
        <v>1</v>
      </c>
    </row>
    <row r="15" spans="1:22" x14ac:dyDescent="0.2">
      <c r="B15" s="503">
        <v>14</v>
      </c>
      <c r="C15" s="503" t="s">
        <v>1620</v>
      </c>
      <c r="D15" s="497"/>
      <c r="E15" s="504"/>
      <c r="F15" s="497"/>
      <c r="L15" s="386">
        <f t="shared" si="0"/>
        <v>1</v>
      </c>
      <c r="M15" s="489">
        <v>0</v>
      </c>
      <c r="N15" s="489">
        <v>0</v>
      </c>
      <c r="O15" s="489">
        <v>1</v>
      </c>
      <c r="P15" s="489">
        <v>1</v>
      </c>
      <c r="Q15" s="489">
        <v>1</v>
      </c>
      <c r="S15" s="489">
        <v>0</v>
      </c>
      <c r="T15" s="489">
        <v>0</v>
      </c>
      <c r="U15" s="489">
        <v>0</v>
      </c>
      <c r="V15" s="489">
        <v>0</v>
      </c>
    </row>
    <row r="16" spans="1:22" x14ac:dyDescent="0.2">
      <c r="B16" s="503">
        <v>15</v>
      </c>
      <c r="C16" s="503" t="s">
        <v>1621</v>
      </c>
      <c r="D16" s="497"/>
      <c r="E16" s="504"/>
      <c r="F16" s="497"/>
      <c r="L16" s="386">
        <f t="shared" si="0"/>
        <v>1</v>
      </c>
      <c r="M16" s="489">
        <v>0</v>
      </c>
      <c r="N16" s="489">
        <v>0</v>
      </c>
      <c r="O16" s="489">
        <v>1</v>
      </c>
      <c r="P16" s="489">
        <v>1</v>
      </c>
      <c r="Q16" s="489">
        <v>1</v>
      </c>
      <c r="S16" s="489">
        <v>0</v>
      </c>
      <c r="T16" s="489">
        <v>1</v>
      </c>
      <c r="U16" s="489">
        <v>1</v>
      </c>
      <c r="V16" s="489">
        <v>1</v>
      </c>
    </row>
    <row r="17" spans="1:22" x14ac:dyDescent="0.2">
      <c r="B17" s="503">
        <v>16</v>
      </c>
      <c r="C17" s="503" t="s">
        <v>1622</v>
      </c>
      <c r="D17" s="497"/>
      <c r="E17" s="497"/>
      <c r="F17" s="497"/>
      <c r="G17" s="505"/>
      <c r="L17" s="386">
        <f t="shared" si="0"/>
        <v>1</v>
      </c>
      <c r="M17" s="489">
        <v>0</v>
      </c>
      <c r="N17" s="489">
        <v>0</v>
      </c>
      <c r="O17" s="489">
        <v>1</v>
      </c>
      <c r="P17" s="489">
        <v>1</v>
      </c>
      <c r="Q17" s="489">
        <v>1</v>
      </c>
      <c r="S17" s="489">
        <v>0</v>
      </c>
      <c r="T17" s="489">
        <v>1</v>
      </c>
      <c r="U17" s="489">
        <v>1</v>
      </c>
      <c r="V17" s="489">
        <v>1</v>
      </c>
    </row>
    <row r="18" spans="1:22" x14ac:dyDescent="0.2">
      <c r="B18" s="503">
        <v>17</v>
      </c>
      <c r="C18" s="503" t="s">
        <v>1623</v>
      </c>
      <c r="D18" s="497"/>
      <c r="E18" s="497"/>
      <c r="F18" s="497"/>
      <c r="G18" s="505"/>
      <c r="L18" s="386">
        <f t="shared" si="0"/>
        <v>1</v>
      </c>
      <c r="M18" s="489">
        <v>0</v>
      </c>
      <c r="N18" s="489">
        <v>0</v>
      </c>
      <c r="O18" s="489">
        <v>1</v>
      </c>
      <c r="P18" s="489">
        <v>1</v>
      </c>
      <c r="Q18" s="489">
        <v>1</v>
      </c>
      <c r="S18" s="489">
        <v>0</v>
      </c>
      <c r="T18" s="489">
        <v>1</v>
      </c>
      <c r="U18" s="489">
        <v>1</v>
      </c>
      <c r="V18" s="489">
        <v>1</v>
      </c>
    </row>
    <row r="19" spans="1:22" x14ac:dyDescent="0.2">
      <c r="B19" s="503">
        <v>18</v>
      </c>
      <c r="C19" s="503" t="s">
        <v>1624</v>
      </c>
      <c r="D19" s="497"/>
      <c r="E19" s="497"/>
      <c r="F19" s="497"/>
      <c r="L19" s="386">
        <f t="shared" si="0"/>
        <v>1</v>
      </c>
      <c r="M19" s="489">
        <v>1</v>
      </c>
      <c r="N19" s="489">
        <v>1</v>
      </c>
      <c r="O19" s="489">
        <v>1</v>
      </c>
      <c r="P19" s="489">
        <v>1</v>
      </c>
      <c r="Q19" s="489">
        <v>1</v>
      </c>
      <c r="S19" s="489">
        <v>1</v>
      </c>
      <c r="T19" s="489">
        <v>1</v>
      </c>
      <c r="U19" s="489">
        <v>1</v>
      </c>
      <c r="V19" s="489">
        <v>1</v>
      </c>
    </row>
    <row r="20" spans="1:22" x14ac:dyDescent="0.2">
      <c r="B20" s="503">
        <v>19</v>
      </c>
      <c r="C20" s="503" t="s">
        <v>1832</v>
      </c>
      <c r="D20" s="497"/>
      <c r="E20" s="497"/>
      <c r="F20" s="497"/>
      <c r="L20" s="386">
        <f t="shared" si="0"/>
        <v>1</v>
      </c>
      <c r="M20" s="489">
        <v>0</v>
      </c>
      <c r="N20" s="489">
        <v>1</v>
      </c>
      <c r="O20" s="489">
        <v>1</v>
      </c>
      <c r="P20" s="489">
        <v>1</v>
      </c>
      <c r="Q20" s="489">
        <v>1</v>
      </c>
      <c r="S20" s="489">
        <v>1</v>
      </c>
      <c r="T20" s="489">
        <v>1</v>
      </c>
      <c r="U20" s="489">
        <v>1</v>
      </c>
      <c r="V20" s="489">
        <v>1</v>
      </c>
    </row>
    <row r="21" spans="1:22" s="496" customFormat="1" x14ac:dyDescent="0.2">
      <c r="A21" s="500">
        <v>2</v>
      </c>
      <c r="B21" s="969" t="s">
        <v>241</v>
      </c>
      <c r="C21" s="969"/>
      <c r="D21" s="506"/>
      <c r="E21" s="506"/>
      <c r="F21" s="506"/>
      <c r="G21" s="495"/>
      <c r="L21" s="386" t="str">
        <f t="shared" si="0"/>
        <v>x</v>
      </c>
      <c r="M21" s="428" t="s">
        <v>2</v>
      </c>
      <c r="N21" s="428" t="s">
        <v>2</v>
      </c>
      <c r="O21" s="428" t="s">
        <v>2</v>
      </c>
      <c r="P21" s="428" t="s">
        <v>2</v>
      </c>
      <c r="Q21" s="428" t="s">
        <v>2</v>
      </c>
      <c r="R21" s="428"/>
      <c r="S21" s="428" t="s">
        <v>2</v>
      </c>
      <c r="T21" s="428" t="s">
        <v>2</v>
      </c>
      <c r="U21" s="428" t="s">
        <v>2</v>
      </c>
      <c r="V21" s="428" t="s">
        <v>2</v>
      </c>
    </row>
    <row r="22" spans="1:22" x14ac:dyDescent="0.2">
      <c r="B22" s="503">
        <v>21</v>
      </c>
      <c r="C22" s="488" t="s">
        <v>1625</v>
      </c>
      <c r="D22" s="504"/>
      <c r="E22" s="497"/>
      <c r="F22" s="497"/>
      <c r="G22" s="507"/>
      <c r="H22" s="503"/>
      <c r="L22" s="386">
        <f t="shared" si="0"/>
        <v>1</v>
      </c>
      <c r="M22" s="489">
        <v>1</v>
      </c>
      <c r="N22" s="489">
        <v>1</v>
      </c>
      <c r="O22" s="489">
        <v>1</v>
      </c>
      <c r="P22" s="489">
        <v>1</v>
      </c>
      <c r="Q22" s="489">
        <v>1</v>
      </c>
      <c r="S22" s="489">
        <v>1</v>
      </c>
      <c r="T22" s="489">
        <v>1</v>
      </c>
      <c r="U22" s="489">
        <v>1</v>
      </c>
      <c r="V22" s="489">
        <v>1</v>
      </c>
    </row>
    <row r="23" spans="1:22" x14ac:dyDescent="0.2">
      <c r="B23" s="503">
        <v>22</v>
      </c>
      <c r="C23" s="488" t="s">
        <v>1626</v>
      </c>
      <c r="D23" s="497"/>
      <c r="E23" s="504"/>
      <c r="F23" s="497"/>
      <c r="G23" s="505"/>
      <c r="L23" s="386">
        <f t="shared" si="0"/>
        <v>1</v>
      </c>
      <c r="M23" s="489">
        <v>0</v>
      </c>
      <c r="N23" s="489">
        <v>0</v>
      </c>
      <c r="O23" s="489">
        <v>1</v>
      </c>
      <c r="P23" s="489">
        <v>1</v>
      </c>
      <c r="Q23" s="489">
        <v>1</v>
      </c>
      <c r="S23" s="489">
        <v>0</v>
      </c>
      <c r="T23" s="489">
        <v>1</v>
      </c>
      <c r="U23" s="489">
        <v>1</v>
      </c>
      <c r="V23" s="489">
        <v>1</v>
      </c>
    </row>
    <row r="24" spans="1:22" x14ac:dyDescent="0.2">
      <c r="B24" s="503">
        <v>23</v>
      </c>
      <c r="C24" s="503" t="s">
        <v>1833</v>
      </c>
      <c r="D24" s="497"/>
      <c r="E24" s="504"/>
      <c r="F24" s="497"/>
      <c r="G24" s="505"/>
      <c r="H24" s="503"/>
      <c r="L24" s="386">
        <f t="shared" si="0"/>
        <v>1</v>
      </c>
      <c r="M24" s="489">
        <v>0</v>
      </c>
      <c r="N24" s="489">
        <v>1</v>
      </c>
      <c r="O24" s="489">
        <v>1</v>
      </c>
      <c r="P24" s="489">
        <v>1</v>
      </c>
      <c r="Q24" s="489">
        <v>1</v>
      </c>
      <c r="S24" s="489">
        <v>1</v>
      </c>
      <c r="T24" s="489">
        <v>1</v>
      </c>
      <c r="U24" s="489">
        <v>1</v>
      </c>
      <c r="V24" s="489">
        <v>1</v>
      </c>
    </row>
    <row r="25" spans="1:22" x14ac:dyDescent="0.2">
      <c r="B25" s="503">
        <v>24</v>
      </c>
      <c r="C25" s="503" t="s">
        <v>1627</v>
      </c>
      <c r="D25" s="504"/>
      <c r="E25" s="497"/>
      <c r="F25" s="497"/>
      <c r="G25" s="505"/>
      <c r="L25" s="386">
        <f t="shared" si="0"/>
        <v>1</v>
      </c>
      <c r="M25" s="489">
        <v>1</v>
      </c>
      <c r="N25" s="489">
        <v>1</v>
      </c>
      <c r="O25" s="489">
        <v>1</v>
      </c>
      <c r="P25" s="489">
        <v>1</v>
      </c>
      <c r="Q25" s="489">
        <v>1</v>
      </c>
      <c r="S25" s="489">
        <v>1</v>
      </c>
      <c r="T25" s="489">
        <v>1</v>
      </c>
      <c r="U25" s="489">
        <v>1</v>
      </c>
      <c r="V25" s="489">
        <v>1</v>
      </c>
    </row>
    <row r="26" spans="1:22" x14ac:dyDescent="0.2">
      <c r="B26" s="503">
        <v>25</v>
      </c>
      <c r="C26" s="503" t="s">
        <v>1628</v>
      </c>
      <c r="D26" s="504"/>
      <c r="E26" s="497"/>
      <c r="F26" s="497"/>
      <c r="G26" s="505"/>
      <c r="L26" s="386">
        <f t="shared" si="0"/>
        <v>1</v>
      </c>
      <c r="M26" s="489">
        <v>0</v>
      </c>
      <c r="N26" s="489">
        <v>0</v>
      </c>
      <c r="O26" s="489">
        <v>1</v>
      </c>
      <c r="P26" s="489">
        <v>1</v>
      </c>
      <c r="Q26" s="489">
        <v>1</v>
      </c>
      <c r="S26" s="489">
        <v>0</v>
      </c>
      <c r="T26" s="489">
        <v>1</v>
      </c>
      <c r="U26" s="489">
        <v>1</v>
      </c>
      <c r="V26" s="489">
        <v>1</v>
      </c>
    </row>
    <row r="27" spans="1:22" x14ac:dyDescent="0.2">
      <c r="B27" s="503">
        <v>26</v>
      </c>
      <c r="C27" s="503" t="s">
        <v>1629</v>
      </c>
      <c r="D27" s="504"/>
      <c r="E27" s="497"/>
      <c r="F27" s="497"/>
      <c r="G27" s="505"/>
      <c r="H27" s="503"/>
      <c r="L27" s="386">
        <f t="shared" si="0"/>
        <v>1</v>
      </c>
      <c r="M27" s="489">
        <v>0</v>
      </c>
      <c r="N27" s="489">
        <v>1</v>
      </c>
      <c r="O27" s="489">
        <v>1</v>
      </c>
      <c r="P27" s="489">
        <v>1</v>
      </c>
      <c r="Q27" s="489">
        <v>1</v>
      </c>
      <c r="S27" s="489">
        <v>0</v>
      </c>
      <c r="T27" s="489">
        <v>0</v>
      </c>
      <c r="U27" s="489">
        <v>0</v>
      </c>
      <c r="V27" s="489">
        <v>0</v>
      </c>
    </row>
    <row r="28" spans="1:22" x14ac:dyDescent="0.2">
      <c r="B28" s="503">
        <v>27</v>
      </c>
      <c r="C28" s="503" t="s">
        <v>1835</v>
      </c>
      <c r="D28" s="497"/>
      <c r="E28" s="504"/>
      <c r="F28" s="497"/>
      <c r="G28" s="505"/>
      <c r="L28" s="386">
        <f t="shared" si="0"/>
        <v>1</v>
      </c>
      <c r="M28" s="489">
        <v>0</v>
      </c>
      <c r="N28" s="489">
        <v>1</v>
      </c>
      <c r="O28" s="489">
        <v>1</v>
      </c>
      <c r="P28" s="489">
        <v>1</v>
      </c>
      <c r="Q28" s="489">
        <v>1</v>
      </c>
      <c r="S28" s="489">
        <v>0</v>
      </c>
      <c r="T28" s="489">
        <v>0</v>
      </c>
      <c r="U28" s="489">
        <v>0</v>
      </c>
      <c r="V28" s="489">
        <v>0</v>
      </c>
    </row>
    <row r="29" spans="1:22" x14ac:dyDescent="0.2">
      <c r="B29" s="503">
        <v>28</v>
      </c>
      <c r="C29" s="488" t="s">
        <v>1630</v>
      </c>
      <c r="D29" s="497"/>
      <c r="E29" s="504"/>
      <c r="F29" s="497"/>
      <c r="G29" s="505"/>
      <c r="H29" s="503"/>
      <c r="L29" s="386">
        <f t="shared" si="0"/>
        <v>1</v>
      </c>
      <c r="M29" s="489">
        <v>0</v>
      </c>
      <c r="N29" s="489">
        <v>0</v>
      </c>
      <c r="O29" s="489">
        <v>1</v>
      </c>
      <c r="P29" s="489">
        <v>1</v>
      </c>
      <c r="Q29" s="489">
        <v>1</v>
      </c>
      <c r="S29" s="489">
        <v>0</v>
      </c>
      <c r="T29" s="489">
        <v>1</v>
      </c>
      <c r="U29" s="489">
        <v>1</v>
      </c>
      <c r="V29" s="489">
        <v>1</v>
      </c>
    </row>
    <row r="30" spans="1:22" x14ac:dyDescent="0.2">
      <c r="B30" s="503">
        <v>29</v>
      </c>
      <c r="C30" s="503" t="s">
        <v>1631</v>
      </c>
      <c r="D30" s="504"/>
      <c r="E30" s="497"/>
      <c r="F30" s="497"/>
      <c r="L30" s="386">
        <f t="shared" si="0"/>
        <v>1</v>
      </c>
      <c r="M30" s="489">
        <v>0</v>
      </c>
      <c r="N30" s="489">
        <v>0</v>
      </c>
      <c r="O30" s="489">
        <v>1</v>
      </c>
      <c r="P30" s="489">
        <v>1</v>
      </c>
      <c r="Q30" s="489">
        <v>1</v>
      </c>
      <c r="S30" s="489">
        <v>0</v>
      </c>
      <c r="T30" s="489">
        <v>1</v>
      </c>
      <c r="U30" s="489">
        <v>1</v>
      </c>
      <c r="V30" s="489">
        <v>1</v>
      </c>
    </row>
    <row r="31" spans="1:22" s="496" customFormat="1" x14ac:dyDescent="0.2">
      <c r="A31" s="500">
        <v>3</v>
      </c>
      <c r="B31" s="969" t="s">
        <v>242</v>
      </c>
      <c r="C31" s="969"/>
      <c r="D31" s="506"/>
      <c r="E31" s="506"/>
      <c r="F31" s="506"/>
      <c r="G31" s="495"/>
      <c r="L31" s="386" t="str">
        <f t="shared" si="0"/>
        <v>x</v>
      </c>
      <c r="M31" s="428" t="s">
        <v>2</v>
      </c>
      <c r="N31" s="428" t="s">
        <v>2</v>
      </c>
      <c r="O31" s="428" t="s">
        <v>2</v>
      </c>
      <c r="P31" s="428" t="s">
        <v>2</v>
      </c>
      <c r="Q31" s="428" t="s">
        <v>2</v>
      </c>
      <c r="R31" s="428"/>
      <c r="S31" s="428" t="s">
        <v>2</v>
      </c>
      <c r="T31" s="428" t="s">
        <v>2</v>
      </c>
      <c r="U31" s="428" t="s">
        <v>2</v>
      </c>
      <c r="V31" s="428" t="s">
        <v>2</v>
      </c>
    </row>
    <row r="32" spans="1:22" x14ac:dyDescent="0.2">
      <c r="B32" s="503">
        <v>31</v>
      </c>
      <c r="C32" s="503" t="s">
        <v>1632</v>
      </c>
      <c r="D32" s="504"/>
      <c r="E32" s="497"/>
      <c r="F32" s="497"/>
      <c r="G32" s="505"/>
      <c r="L32" s="386">
        <f t="shared" si="0"/>
        <v>1</v>
      </c>
      <c r="M32" s="489">
        <v>0</v>
      </c>
      <c r="N32" s="489">
        <v>1</v>
      </c>
      <c r="O32" s="489">
        <v>1</v>
      </c>
      <c r="P32" s="489">
        <v>1</v>
      </c>
      <c r="Q32" s="489">
        <v>1</v>
      </c>
      <c r="S32" s="489">
        <v>0</v>
      </c>
      <c r="T32" s="489">
        <v>0</v>
      </c>
      <c r="U32" s="489">
        <v>0</v>
      </c>
      <c r="V32" s="489">
        <v>0</v>
      </c>
    </row>
    <row r="33" spans="1:22" x14ac:dyDescent="0.2">
      <c r="B33" s="503">
        <v>32</v>
      </c>
      <c r="C33" s="503" t="s">
        <v>1633</v>
      </c>
      <c r="D33" s="504"/>
      <c r="E33" s="497"/>
      <c r="F33" s="497"/>
      <c r="L33" s="386">
        <f t="shared" si="0"/>
        <v>1</v>
      </c>
      <c r="M33" s="489">
        <v>0</v>
      </c>
      <c r="N33" s="489">
        <v>0</v>
      </c>
      <c r="O33" s="489">
        <v>1</v>
      </c>
      <c r="P33" s="489">
        <v>1</v>
      </c>
      <c r="Q33" s="489">
        <v>1</v>
      </c>
      <c r="S33" s="489">
        <v>0</v>
      </c>
      <c r="T33" s="489">
        <v>0</v>
      </c>
      <c r="U33" s="489">
        <v>0</v>
      </c>
      <c r="V33" s="489">
        <v>0</v>
      </c>
    </row>
    <row r="34" spans="1:22" x14ac:dyDescent="0.2">
      <c r="B34" s="503">
        <v>33</v>
      </c>
      <c r="C34" s="503" t="s">
        <v>1634</v>
      </c>
      <c r="D34" s="497"/>
      <c r="E34" s="504"/>
      <c r="F34" s="497"/>
      <c r="L34" s="386">
        <f t="shared" si="0"/>
        <v>1</v>
      </c>
      <c r="M34" s="489">
        <v>0</v>
      </c>
      <c r="N34" s="489">
        <v>0</v>
      </c>
      <c r="O34" s="489">
        <v>1</v>
      </c>
      <c r="P34" s="489">
        <v>1</v>
      </c>
      <c r="Q34" s="489">
        <v>1</v>
      </c>
      <c r="S34" s="489">
        <v>0</v>
      </c>
      <c r="T34" s="489">
        <v>0</v>
      </c>
      <c r="U34" s="489">
        <v>0</v>
      </c>
      <c r="V34" s="489">
        <v>0</v>
      </c>
    </row>
    <row r="35" spans="1:22" x14ac:dyDescent="0.2">
      <c r="B35" s="503">
        <v>34</v>
      </c>
      <c r="C35" s="503" t="s">
        <v>1635</v>
      </c>
      <c r="D35" s="497"/>
      <c r="E35" s="504"/>
      <c r="F35" s="497"/>
      <c r="L35" s="386">
        <f t="shared" si="0"/>
        <v>1</v>
      </c>
      <c r="M35" s="489">
        <v>0</v>
      </c>
      <c r="N35" s="489">
        <v>0</v>
      </c>
      <c r="O35" s="489">
        <v>1</v>
      </c>
      <c r="P35" s="489">
        <v>1</v>
      </c>
      <c r="Q35" s="489">
        <v>1</v>
      </c>
      <c r="S35" s="489">
        <v>0</v>
      </c>
      <c r="T35" s="489">
        <v>0</v>
      </c>
      <c r="U35" s="489">
        <v>0</v>
      </c>
      <c r="V35" s="489">
        <v>0</v>
      </c>
    </row>
    <row r="36" spans="1:22" x14ac:dyDescent="0.2">
      <c r="B36" s="503">
        <v>35</v>
      </c>
      <c r="C36" s="503" t="s">
        <v>1636</v>
      </c>
      <c r="D36" s="497"/>
      <c r="E36" s="504"/>
      <c r="F36" s="497"/>
      <c r="L36" s="386">
        <f t="shared" ref="L36:L67" si="1">IF(L$3=0,0,IF(L$3=1,M36,IF(L$3=2,N36,IF(L$3=3,O36,IF(L$3=4,P36,IF(L$3=5,Q36,IF(L$3=6,S36,IF(L$3=7,T36,IF(L$3=8,U36,IF(L$3=9,V36,0))))))))))</f>
        <v>1</v>
      </c>
      <c r="M36" s="489">
        <v>0</v>
      </c>
      <c r="N36" s="489">
        <v>0</v>
      </c>
      <c r="O36" s="489">
        <v>1</v>
      </c>
      <c r="P36" s="489">
        <v>1</v>
      </c>
      <c r="Q36" s="489">
        <v>1</v>
      </c>
      <c r="S36" s="489">
        <v>0</v>
      </c>
      <c r="T36" s="489">
        <v>0</v>
      </c>
      <c r="U36" s="489">
        <v>0</v>
      </c>
      <c r="V36" s="489">
        <v>0</v>
      </c>
    </row>
    <row r="37" spans="1:22" x14ac:dyDescent="0.2">
      <c r="B37" s="503">
        <v>36</v>
      </c>
      <c r="C37" s="503" t="s">
        <v>1637</v>
      </c>
      <c r="D37" s="497"/>
      <c r="E37" s="504"/>
      <c r="F37" s="497"/>
      <c r="L37" s="386">
        <f t="shared" si="1"/>
        <v>1</v>
      </c>
      <c r="M37" s="489">
        <v>0</v>
      </c>
      <c r="N37" s="489">
        <v>0</v>
      </c>
      <c r="O37" s="489">
        <v>1</v>
      </c>
      <c r="P37" s="489">
        <v>1</v>
      </c>
      <c r="Q37" s="489">
        <v>1</v>
      </c>
      <c r="S37" s="489">
        <v>0</v>
      </c>
      <c r="T37" s="489">
        <v>0</v>
      </c>
      <c r="U37" s="489">
        <v>0</v>
      </c>
      <c r="V37" s="489">
        <v>0</v>
      </c>
    </row>
    <row r="38" spans="1:22" x14ac:dyDescent="0.2">
      <c r="B38" s="503">
        <v>37</v>
      </c>
      <c r="C38" s="503" t="s">
        <v>1638</v>
      </c>
      <c r="D38" s="497"/>
      <c r="E38" s="497"/>
      <c r="F38" s="497"/>
      <c r="L38" s="386">
        <f t="shared" si="1"/>
        <v>1</v>
      </c>
      <c r="M38" s="489">
        <v>0</v>
      </c>
      <c r="N38" s="489">
        <v>0</v>
      </c>
      <c r="O38" s="489">
        <v>1</v>
      </c>
      <c r="P38" s="489">
        <v>1</v>
      </c>
      <c r="Q38" s="489">
        <v>1</v>
      </c>
      <c r="S38" s="489">
        <v>0</v>
      </c>
      <c r="T38" s="489">
        <v>0</v>
      </c>
      <c r="U38" s="489">
        <v>0</v>
      </c>
      <c r="V38" s="489">
        <v>0</v>
      </c>
    </row>
    <row r="39" spans="1:22" x14ac:dyDescent="0.2">
      <c r="B39" s="503">
        <v>38</v>
      </c>
      <c r="C39" s="503" t="s">
        <v>1639</v>
      </c>
      <c r="D39" s="497"/>
      <c r="E39" s="497"/>
      <c r="F39" s="497"/>
      <c r="L39" s="386">
        <f t="shared" si="1"/>
        <v>1</v>
      </c>
      <c r="M39" s="489">
        <v>0</v>
      </c>
      <c r="N39" s="489">
        <v>0</v>
      </c>
      <c r="O39" s="489">
        <v>1</v>
      </c>
      <c r="P39" s="489">
        <v>1</v>
      </c>
      <c r="Q39" s="489">
        <v>1</v>
      </c>
      <c r="S39" s="489">
        <v>0</v>
      </c>
      <c r="T39" s="489">
        <v>0</v>
      </c>
      <c r="U39" s="489">
        <v>0</v>
      </c>
      <c r="V39" s="489">
        <v>0</v>
      </c>
    </row>
    <row r="40" spans="1:22" x14ac:dyDescent="0.2">
      <c r="B40" s="503">
        <v>39</v>
      </c>
      <c r="C40" s="488" t="s">
        <v>1640</v>
      </c>
      <c r="D40" s="497"/>
      <c r="E40" s="497"/>
      <c r="F40" s="497"/>
      <c r="L40" s="386">
        <f t="shared" si="1"/>
        <v>1</v>
      </c>
      <c r="M40" s="489">
        <v>0</v>
      </c>
      <c r="N40" s="489">
        <v>1</v>
      </c>
      <c r="O40" s="489">
        <v>1</v>
      </c>
      <c r="P40" s="489">
        <v>1</v>
      </c>
      <c r="Q40" s="489">
        <v>1</v>
      </c>
      <c r="S40" s="489">
        <v>0</v>
      </c>
      <c r="T40" s="489">
        <v>0</v>
      </c>
      <c r="U40" s="489">
        <v>0</v>
      </c>
      <c r="V40" s="489">
        <v>0</v>
      </c>
    </row>
    <row r="41" spans="1:22" s="496" customFormat="1" x14ac:dyDescent="0.2">
      <c r="A41" s="500">
        <v>4</v>
      </c>
      <c r="B41" s="969" t="s">
        <v>1641</v>
      </c>
      <c r="C41" s="969"/>
      <c r="D41" s="506"/>
      <c r="E41" s="506"/>
      <c r="F41" s="506"/>
      <c r="G41" s="502"/>
      <c r="L41" s="386" t="str">
        <f t="shared" si="1"/>
        <v>x</v>
      </c>
      <c r="M41" s="428" t="s">
        <v>2</v>
      </c>
      <c r="N41" s="428" t="s">
        <v>2</v>
      </c>
      <c r="O41" s="428" t="s">
        <v>2</v>
      </c>
      <c r="P41" s="428" t="s">
        <v>2</v>
      </c>
      <c r="Q41" s="428" t="s">
        <v>2</v>
      </c>
      <c r="R41" s="428"/>
      <c r="S41" s="428" t="s">
        <v>2</v>
      </c>
      <c r="T41" s="428" t="s">
        <v>2</v>
      </c>
      <c r="U41" s="428" t="s">
        <v>2</v>
      </c>
      <c r="V41" s="428" t="s">
        <v>2</v>
      </c>
    </row>
    <row r="42" spans="1:22" x14ac:dyDescent="0.2">
      <c r="B42" s="503">
        <v>41</v>
      </c>
      <c r="C42" s="503" t="s">
        <v>1642</v>
      </c>
      <c r="D42" s="504"/>
      <c r="E42" s="497"/>
      <c r="F42" s="497"/>
      <c r="L42" s="386">
        <f t="shared" si="1"/>
        <v>1</v>
      </c>
      <c r="M42" s="489">
        <v>0</v>
      </c>
      <c r="N42" s="489">
        <v>0</v>
      </c>
      <c r="O42" s="489">
        <v>1</v>
      </c>
      <c r="P42" s="489">
        <v>1</v>
      </c>
      <c r="Q42" s="489">
        <v>1</v>
      </c>
      <c r="S42" s="489">
        <v>0</v>
      </c>
      <c r="T42" s="489">
        <v>0</v>
      </c>
      <c r="U42" s="489">
        <v>0</v>
      </c>
      <c r="V42" s="489">
        <v>0</v>
      </c>
    </row>
    <row r="43" spans="1:22" x14ac:dyDescent="0.2">
      <c r="B43" s="503">
        <v>42</v>
      </c>
      <c r="C43" s="503" t="s">
        <v>1643</v>
      </c>
      <c r="D43" s="504"/>
      <c r="E43" s="497"/>
      <c r="F43" s="497"/>
      <c r="G43" s="505"/>
      <c r="L43" s="386">
        <f t="shared" si="1"/>
        <v>1</v>
      </c>
      <c r="M43" s="489">
        <v>0</v>
      </c>
      <c r="N43" s="489">
        <v>0</v>
      </c>
      <c r="O43" s="489">
        <v>1</v>
      </c>
      <c r="P43" s="489">
        <v>1</v>
      </c>
      <c r="Q43" s="489">
        <v>1</v>
      </c>
      <c r="S43" s="489">
        <v>0</v>
      </c>
      <c r="T43" s="489">
        <v>0</v>
      </c>
      <c r="U43" s="489">
        <v>0</v>
      </c>
      <c r="V43" s="489">
        <v>0</v>
      </c>
    </row>
    <row r="44" spans="1:22" x14ac:dyDescent="0.2">
      <c r="B44" s="503">
        <v>43</v>
      </c>
      <c r="C44" s="503" t="s">
        <v>1644</v>
      </c>
      <c r="D44" s="497"/>
      <c r="E44" s="497"/>
      <c r="F44" s="497"/>
      <c r="G44" s="505"/>
      <c r="L44" s="386">
        <f t="shared" si="1"/>
        <v>1</v>
      </c>
      <c r="M44" s="489">
        <v>0</v>
      </c>
      <c r="N44" s="489">
        <v>0</v>
      </c>
      <c r="O44" s="489">
        <v>1</v>
      </c>
      <c r="P44" s="489">
        <v>1</v>
      </c>
      <c r="Q44" s="489">
        <v>1</v>
      </c>
      <c r="S44" s="489">
        <v>0</v>
      </c>
      <c r="T44" s="489">
        <v>0</v>
      </c>
      <c r="U44" s="489">
        <v>0</v>
      </c>
      <c r="V44" s="489">
        <v>0</v>
      </c>
    </row>
    <row r="45" spans="1:22" x14ac:dyDescent="0.2">
      <c r="B45" s="503">
        <v>44</v>
      </c>
      <c r="C45" s="503" t="s">
        <v>1836</v>
      </c>
      <c r="D45" s="504"/>
      <c r="E45" s="497"/>
      <c r="F45" s="497"/>
      <c r="L45" s="386">
        <f t="shared" si="1"/>
        <v>1</v>
      </c>
      <c r="M45" s="489">
        <v>0</v>
      </c>
      <c r="N45" s="489">
        <v>0</v>
      </c>
      <c r="O45" s="489">
        <v>1</v>
      </c>
      <c r="P45" s="489">
        <v>1</v>
      </c>
      <c r="Q45" s="489">
        <v>1</v>
      </c>
      <c r="S45" s="489">
        <v>0</v>
      </c>
      <c r="T45" s="489">
        <v>0</v>
      </c>
      <c r="U45" s="489">
        <v>0</v>
      </c>
      <c r="V45" s="489">
        <v>0</v>
      </c>
    </row>
    <row r="46" spans="1:22" x14ac:dyDescent="0.2">
      <c r="B46" s="503">
        <v>45</v>
      </c>
      <c r="C46" s="503" t="s">
        <v>1645</v>
      </c>
      <c r="D46" s="504"/>
      <c r="E46" s="497"/>
      <c r="F46" s="497"/>
      <c r="L46" s="386">
        <f t="shared" si="1"/>
        <v>1</v>
      </c>
      <c r="M46" s="489">
        <v>0</v>
      </c>
      <c r="N46" s="489">
        <v>1</v>
      </c>
      <c r="O46" s="489">
        <v>1</v>
      </c>
      <c r="P46" s="489">
        <v>1</v>
      </c>
      <c r="Q46" s="489">
        <v>1</v>
      </c>
      <c r="S46" s="489">
        <v>0</v>
      </c>
      <c r="T46" s="489">
        <v>0</v>
      </c>
      <c r="U46" s="489">
        <v>0</v>
      </c>
      <c r="V46" s="489">
        <v>0</v>
      </c>
    </row>
    <row r="47" spans="1:22" x14ac:dyDescent="0.2">
      <c r="B47" s="503">
        <v>46</v>
      </c>
      <c r="C47" s="503" t="s">
        <v>1646</v>
      </c>
      <c r="D47" s="497"/>
      <c r="E47" s="497"/>
      <c r="F47" s="497"/>
      <c r="G47" s="505"/>
      <c r="L47" s="386">
        <f t="shared" si="1"/>
        <v>1</v>
      </c>
      <c r="M47" s="489">
        <v>0</v>
      </c>
      <c r="N47" s="489">
        <v>0</v>
      </c>
      <c r="O47" s="489">
        <v>1</v>
      </c>
      <c r="P47" s="489">
        <v>1</v>
      </c>
      <c r="Q47" s="489">
        <v>1</v>
      </c>
      <c r="S47" s="489">
        <v>0</v>
      </c>
      <c r="T47" s="489">
        <v>0</v>
      </c>
      <c r="U47" s="489">
        <v>0</v>
      </c>
      <c r="V47" s="489">
        <v>0</v>
      </c>
    </row>
    <row r="48" spans="1:22" x14ac:dyDescent="0.2">
      <c r="B48" s="503">
        <v>47</v>
      </c>
      <c r="C48" s="503" t="s">
        <v>1647</v>
      </c>
      <c r="D48" s="497"/>
      <c r="E48" s="497"/>
      <c r="F48" s="497"/>
      <c r="L48" s="386">
        <f t="shared" si="1"/>
        <v>1</v>
      </c>
      <c r="M48" s="489">
        <v>0</v>
      </c>
      <c r="N48" s="489">
        <v>0</v>
      </c>
      <c r="O48" s="489">
        <v>1</v>
      </c>
      <c r="P48" s="489">
        <v>1</v>
      </c>
      <c r="Q48" s="489">
        <v>1</v>
      </c>
      <c r="S48" s="489">
        <v>0</v>
      </c>
      <c r="T48" s="489">
        <v>0</v>
      </c>
      <c r="U48" s="489">
        <v>0</v>
      </c>
      <c r="V48" s="489">
        <v>0</v>
      </c>
    </row>
    <row r="49" spans="1:22" x14ac:dyDescent="0.2">
      <c r="B49" s="503">
        <v>48</v>
      </c>
      <c r="C49" s="503" t="s">
        <v>1648</v>
      </c>
      <c r="D49" s="497"/>
      <c r="E49" s="497"/>
      <c r="F49" s="497"/>
      <c r="L49" s="386">
        <f t="shared" si="1"/>
        <v>1</v>
      </c>
      <c r="M49" s="489">
        <v>0</v>
      </c>
      <c r="N49" s="489">
        <v>0</v>
      </c>
      <c r="O49" s="489">
        <v>1</v>
      </c>
      <c r="P49" s="489">
        <v>1</v>
      </c>
      <c r="Q49" s="489">
        <v>1</v>
      </c>
      <c r="S49" s="489">
        <v>0</v>
      </c>
      <c r="T49" s="489">
        <v>0</v>
      </c>
      <c r="U49" s="489">
        <v>0</v>
      </c>
      <c r="V49" s="489">
        <v>0</v>
      </c>
    </row>
    <row r="50" spans="1:22" x14ac:dyDescent="0.2">
      <c r="B50" s="503">
        <v>49</v>
      </c>
      <c r="C50" s="503" t="s">
        <v>1649</v>
      </c>
      <c r="D50" s="497"/>
      <c r="E50" s="497"/>
      <c r="F50" s="497"/>
      <c r="L50" s="386">
        <f t="shared" si="1"/>
        <v>1</v>
      </c>
      <c r="M50" s="489">
        <v>0</v>
      </c>
      <c r="N50" s="489">
        <v>0</v>
      </c>
      <c r="O50" s="489">
        <v>1</v>
      </c>
      <c r="P50" s="489">
        <v>1</v>
      </c>
      <c r="Q50" s="489">
        <v>1</v>
      </c>
      <c r="S50" s="489">
        <v>0</v>
      </c>
      <c r="T50" s="489">
        <v>0</v>
      </c>
      <c r="U50" s="489">
        <v>0</v>
      </c>
      <c r="V50" s="489">
        <v>0</v>
      </c>
    </row>
    <row r="51" spans="1:22" s="496" customFormat="1" x14ac:dyDescent="0.2">
      <c r="A51" s="500">
        <v>5</v>
      </c>
      <c r="B51" s="969" t="s">
        <v>246</v>
      </c>
      <c r="C51" s="969"/>
      <c r="D51" s="506"/>
      <c r="E51" s="506"/>
      <c r="F51" s="506"/>
      <c r="G51" s="495"/>
      <c r="L51" s="386" t="str">
        <f t="shared" si="1"/>
        <v>x</v>
      </c>
      <c r="M51" s="428" t="s">
        <v>2</v>
      </c>
      <c r="N51" s="428" t="s">
        <v>2</v>
      </c>
      <c r="O51" s="428" t="s">
        <v>2</v>
      </c>
      <c r="P51" s="428" t="s">
        <v>2</v>
      </c>
      <c r="Q51" s="428" t="s">
        <v>2</v>
      </c>
      <c r="R51" s="428"/>
      <c r="S51" s="428" t="s">
        <v>2</v>
      </c>
      <c r="T51" s="428" t="s">
        <v>2</v>
      </c>
      <c r="U51" s="428" t="s">
        <v>2</v>
      </c>
      <c r="V51" s="428" t="s">
        <v>2</v>
      </c>
    </row>
    <row r="52" spans="1:22" x14ac:dyDescent="0.2">
      <c r="B52" s="503">
        <v>51</v>
      </c>
      <c r="C52" s="488" t="s">
        <v>1756</v>
      </c>
      <c r="D52" s="497"/>
      <c r="E52" s="497"/>
      <c r="F52" s="497"/>
      <c r="L52" s="386">
        <f t="shared" si="1"/>
        <v>1</v>
      </c>
      <c r="M52" s="489">
        <v>0</v>
      </c>
      <c r="N52" s="489">
        <v>0</v>
      </c>
      <c r="O52" s="489">
        <v>1</v>
      </c>
      <c r="P52" s="489">
        <v>1</v>
      </c>
      <c r="Q52" s="489">
        <v>1</v>
      </c>
      <c r="S52" s="489">
        <v>0</v>
      </c>
      <c r="T52" s="489">
        <v>0</v>
      </c>
      <c r="U52" s="489">
        <v>0</v>
      </c>
      <c r="V52" s="489">
        <v>0</v>
      </c>
    </row>
    <row r="53" spans="1:22" x14ac:dyDescent="0.2">
      <c r="B53" s="503">
        <v>52</v>
      </c>
      <c r="C53" s="488" t="s">
        <v>1650</v>
      </c>
      <c r="D53" s="497"/>
      <c r="E53" s="497"/>
      <c r="F53" s="497"/>
      <c r="L53" s="386">
        <f t="shared" si="1"/>
        <v>1</v>
      </c>
      <c r="M53" s="489">
        <v>0</v>
      </c>
      <c r="N53" s="489">
        <v>0</v>
      </c>
      <c r="O53" s="489">
        <v>1</v>
      </c>
      <c r="P53" s="489">
        <v>1</v>
      </c>
      <c r="Q53" s="489">
        <v>1</v>
      </c>
      <c r="S53" s="489">
        <v>0</v>
      </c>
      <c r="T53" s="489">
        <v>0</v>
      </c>
      <c r="U53" s="489">
        <v>0</v>
      </c>
      <c r="V53" s="489">
        <v>0</v>
      </c>
    </row>
    <row r="54" spans="1:22" x14ac:dyDescent="0.2">
      <c r="B54" s="503">
        <v>53</v>
      </c>
      <c r="C54" s="488" t="s">
        <v>1651</v>
      </c>
      <c r="D54" s="497"/>
      <c r="E54" s="497"/>
      <c r="F54" s="497"/>
      <c r="L54" s="386">
        <f t="shared" si="1"/>
        <v>1</v>
      </c>
      <c r="M54" s="489">
        <v>0</v>
      </c>
      <c r="N54" s="489">
        <v>0</v>
      </c>
      <c r="O54" s="489">
        <v>1</v>
      </c>
      <c r="P54" s="489">
        <v>1</v>
      </c>
      <c r="Q54" s="489">
        <v>1</v>
      </c>
      <c r="S54" s="489">
        <v>0</v>
      </c>
      <c r="T54" s="489">
        <v>0</v>
      </c>
      <c r="U54" s="489">
        <v>0</v>
      </c>
      <c r="V54" s="489">
        <v>0</v>
      </c>
    </row>
    <row r="55" spans="1:22" x14ac:dyDescent="0.2">
      <c r="B55" s="503">
        <v>54</v>
      </c>
      <c r="C55" s="503" t="s">
        <v>1652</v>
      </c>
      <c r="D55" s="497"/>
      <c r="E55" s="497"/>
      <c r="F55" s="497"/>
      <c r="L55" s="386">
        <f t="shared" si="1"/>
        <v>1</v>
      </c>
      <c r="M55" s="489">
        <v>0</v>
      </c>
      <c r="N55" s="489">
        <v>0</v>
      </c>
      <c r="O55" s="489">
        <v>1</v>
      </c>
      <c r="P55" s="489">
        <v>1</v>
      </c>
      <c r="Q55" s="489">
        <v>1</v>
      </c>
      <c r="S55" s="489">
        <v>0</v>
      </c>
      <c r="T55" s="489">
        <v>0</v>
      </c>
      <c r="U55" s="489">
        <v>0</v>
      </c>
      <c r="V55" s="489">
        <v>0</v>
      </c>
    </row>
    <row r="56" spans="1:22" x14ac:dyDescent="0.2">
      <c r="B56" s="503">
        <v>55</v>
      </c>
      <c r="C56" s="503" t="s">
        <v>1653</v>
      </c>
      <c r="D56" s="497"/>
      <c r="E56" s="497"/>
      <c r="F56" s="497"/>
      <c r="L56" s="386">
        <f t="shared" si="1"/>
        <v>1</v>
      </c>
      <c r="M56" s="489">
        <v>0</v>
      </c>
      <c r="N56" s="489">
        <v>0</v>
      </c>
      <c r="O56" s="489">
        <v>1</v>
      </c>
      <c r="P56" s="489">
        <v>1</v>
      </c>
      <c r="Q56" s="489">
        <v>1</v>
      </c>
      <c r="S56" s="489">
        <v>0</v>
      </c>
      <c r="T56" s="489">
        <v>0</v>
      </c>
      <c r="U56" s="489">
        <v>0</v>
      </c>
      <c r="V56" s="489">
        <v>0</v>
      </c>
    </row>
    <row r="57" spans="1:22" x14ac:dyDescent="0.2">
      <c r="B57" s="503">
        <v>56</v>
      </c>
      <c r="C57" s="488" t="s">
        <v>1837</v>
      </c>
      <c r="D57" s="497"/>
      <c r="E57" s="497"/>
      <c r="F57" s="497"/>
      <c r="L57" s="386">
        <f t="shared" si="1"/>
        <v>1</v>
      </c>
      <c r="M57" s="489">
        <v>0</v>
      </c>
      <c r="N57" s="489">
        <v>0</v>
      </c>
      <c r="O57" s="489">
        <v>1</v>
      </c>
      <c r="P57" s="489">
        <v>1</v>
      </c>
      <c r="Q57" s="489">
        <v>1</v>
      </c>
      <c r="S57" s="489">
        <v>0</v>
      </c>
      <c r="T57" s="489">
        <v>0</v>
      </c>
      <c r="U57" s="489">
        <v>0</v>
      </c>
      <c r="V57" s="489">
        <v>0</v>
      </c>
    </row>
    <row r="58" spans="1:22" x14ac:dyDescent="0.2">
      <c r="B58" s="503">
        <v>57</v>
      </c>
      <c r="C58" s="503" t="s">
        <v>1838</v>
      </c>
      <c r="D58" s="497"/>
      <c r="E58" s="504"/>
      <c r="F58" s="497"/>
      <c r="L58" s="386">
        <f t="shared" si="1"/>
        <v>1</v>
      </c>
      <c r="M58" s="489">
        <v>0</v>
      </c>
      <c r="N58" s="489">
        <v>0</v>
      </c>
      <c r="O58" s="489">
        <v>1</v>
      </c>
      <c r="P58" s="489">
        <v>1</v>
      </c>
      <c r="Q58" s="489">
        <v>1</v>
      </c>
      <c r="S58" s="489">
        <v>0</v>
      </c>
      <c r="T58" s="489">
        <v>0</v>
      </c>
      <c r="U58" s="489">
        <v>0</v>
      </c>
      <c r="V58" s="489">
        <v>0</v>
      </c>
    </row>
    <row r="59" spans="1:22" x14ac:dyDescent="0.2">
      <c r="B59" s="503">
        <v>58</v>
      </c>
      <c r="C59" s="488" t="s">
        <v>1654</v>
      </c>
      <c r="D59" s="497"/>
      <c r="E59" s="504"/>
      <c r="F59" s="497"/>
      <c r="L59" s="386">
        <f t="shared" si="1"/>
        <v>1</v>
      </c>
      <c r="M59" s="489">
        <v>0</v>
      </c>
      <c r="N59" s="489">
        <v>0</v>
      </c>
      <c r="O59" s="489">
        <v>1</v>
      </c>
      <c r="P59" s="489">
        <v>1</v>
      </c>
      <c r="Q59" s="489">
        <v>1</v>
      </c>
      <c r="S59" s="489">
        <v>0</v>
      </c>
      <c r="T59" s="489">
        <v>0</v>
      </c>
      <c r="U59" s="489">
        <v>0</v>
      </c>
      <c r="V59" s="489">
        <v>0</v>
      </c>
    </row>
    <row r="60" spans="1:22" x14ac:dyDescent="0.2">
      <c r="B60" s="503">
        <v>59</v>
      </c>
      <c r="C60" s="488" t="s">
        <v>213</v>
      </c>
      <c r="D60" s="497"/>
      <c r="E60" s="504"/>
      <c r="F60" s="497"/>
      <c r="L60" s="386">
        <f t="shared" si="1"/>
        <v>1</v>
      </c>
      <c r="M60" s="489">
        <v>0</v>
      </c>
      <c r="N60" s="489">
        <v>0</v>
      </c>
      <c r="O60" s="489">
        <v>1</v>
      </c>
      <c r="P60" s="489">
        <v>1</v>
      </c>
      <c r="Q60" s="489">
        <v>1</v>
      </c>
      <c r="S60" s="489">
        <v>0</v>
      </c>
      <c r="T60" s="489">
        <v>0</v>
      </c>
      <c r="U60" s="489">
        <v>0</v>
      </c>
      <c r="V60" s="489">
        <v>0</v>
      </c>
    </row>
    <row r="61" spans="1:22" s="496" customFormat="1" x14ac:dyDescent="0.2">
      <c r="A61" s="500">
        <v>6</v>
      </c>
      <c r="B61" s="969" t="s">
        <v>1834</v>
      </c>
      <c r="C61" s="969"/>
      <c r="D61" s="506"/>
      <c r="E61" s="506"/>
      <c r="F61" s="506"/>
      <c r="G61" s="502"/>
      <c r="L61" s="386" t="str">
        <f t="shared" si="1"/>
        <v>x</v>
      </c>
      <c r="M61" s="428" t="s">
        <v>2</v>
      </c>
      <c r="N61" s="428" t="s">
        <v>2</v>
      </c>
      <c r="O61" s="428" t="s">
        <v>2</v>
      </c>
      <c r="P61" s="428" t="s">
        <v>2</v>
      </c>
      <c r="Q61" s="428" t="s">
        <v>2</v>
      </c>
      <c r="R61" s="428"/>
      <c r="S61" s="428" t="s">
        <v>2</v>
      </c>
      <c r="T61" s="428" t="s">
        <v>2</v>
      </c>
      <c r="U61" s="428" t="s">
        <v>2</v>
      </c>
      <c r="V61" s="428" t="s">
        <v>2</v>
      </c>
    </row>
    <row r="62" spans="1:22" x14ac:dyDescent="0.2">
      <c r="B62" s="503">
        <v>61</v>
      </c>
      <c r="C62" s="503" t="s">
        <v>1655</v>
      </c>
      <c r="D62" s="504"/>
      <c r="E62" s="497"/>
      <c r="F62" s="497"/>
      <c r="G62" s="505"/>
      <c r="H62" s="503"/>
      <c r="L62" s="386">
        <f t="shared" si="1"/>
        <v>1</v>
      </c>
      <c r="M62" s="489">
        <v>0</v>
      </c>
      <c r="N62" s="489">
        <v>0</v>
      </c>
      <c r="O62" s="489">
        <v>1</v>
      </c>
      <c r="P62" s="489">
        <v>1</v>
      </c>
      <c r="Q62" s="489">
        <v>1</v>
      </c>
      <c r="S62" s="489">
        <v>0</v>
      </c>
      <c r="T62" s="489">
        <v>0</v>
      </c>
      <c r="U62" s="489">
        <v>0</v>
      </c>
      <c r="V62" s="489">
        <v>0</v>
      </c>
    </row>
    <row r="63" spans="1:22" x14ac:dyDescent="0.2">
      <c r="B63" s="503">
        <v>62</v>
      </c>
      <c r="C63" s="503" t="s">
        <v>1829</v>
      </c>
      <c r="D63" s="497"/>
      <c r="E63" s="497"/>
      <c r="F63" s="497"/>
      <c r="L63" s="386">
        <f t="shared" si="1"/>
        <v>1</v>
      </c>
      <c r="M63" s="489">
        <v>1</v>
      </c>
      <c r="N63" s="489">
        <v>1</v>
      </c>
      <c r="O63" s="489">
        <v>1</v>
      </c>
      <c r="P63" s="489">
        <v>1</v>
      </c>
      <c r="Q63" s="489">
        <v>1</v>
      </c>
      <c r="S63" s="489">
        <v>1</v>
      </c>
      <c r="T63" s="489">
        <v>1</v>
      </c>
      <c r="U63" s="489">
        <v>1</v>
      </c>
      <c r="V63" s="489">
        <v>1</v>
      </c>
    </row>
    <row r="64" spans="1:22" x14ac:dyDescent="0.2">
      <c r="B64" s="503">
        <v>63</v>
      </c>
      <c r="C64" s="503" t="s">
        <v>1656</v>
      </c>
      <c r="D64" s="497"/>
      <c r="E64" s="497"/>
      <c r="F64" s="497"/>
      <c r="L64" s="386">
        <f t="shared" si="1"/>
        <v>1</v>
      </c>
      <c r="M64" s="489">
        <v>1</v>
      </c>
      <c r="N64" s="489">
        <v>1</v>
      </c>
      <c r="O64" s="489">
        <v>1</v>
      </c>
      <c r="P64" s="489">
        <v>1</v>
      </c>
      <c r="Q64" s="489">
        <v>1</v>
      </c>
      <c r="S64" s="489">
        <v>1</v>
      </c>
      <c r="T64" s="489">
        <v>1</v>
      </c>
      <c r="U64" s="489">
        <v>1</v>
      </c>
      <c r="V64" s="489">
        <v>1</v>
      </c>
    </row>
    <row r="65" spans="1:22" x14ac:dyDescent="0.2">
      <c r="B65" s="503">
        <v>64</v>
      </c>
      <c r="C65" s="503" t="s">
        <v>1657</v>
      </c>
      <c r="D65" s="497"/>
      <c r="E65" s="497"/>
      <c r="F65" s="497"/>
      <c r="L65" s="386">
        <f t="shared" si="1"/>
        <v>1</v>
      </c>
      <c r="M65" s="489">
        <v>0</v>
      </c>
      <c r="N65" s="489">
        <v>1</v>
      </c>
      <c r="O65" s="489">
        <v>1</v>
      </c>
      <c r="P65" s="489">
        <v>1</v>
      </c>
      <c r="Q65" s="489">
        <v>1</v>
      </c>
      <c r="S65" s="489">
        <v>1</v>
      </c>
      <c r="T65" s="489">
        <v>1</v>
      </c>
      <c r="U65" s="489">
        <v>1</v>
      </c>
      <c r="V65" s="489">
        <v>1</v>
      </c>
    </row>
    <row r="66" spans="1:22" x14ac:dyDescent="0.2">
      <c r="B66" s="503">
        <v>65</v>
      </c>
      <c r="C66" s="503" t="s">
        <v>1656</v>
      </c>
      <c r="D66" s="497"/>
      <c r="E66" s="497"/>
      <c r="F66" s="497"/>
      <c r="L66" s="386">
        <f t="shared" si="1"/>
        <v>1</v>
      </c>
      <c r="M66" s="489">
        <v>0</v>
      </c>
      <c r="N66" s="489">
        <v>0</v>
      </c>
      <c r="O66" s="489">
        <v>1</v>
      </c>
      <c r="P66" s="489">
        <v>1</v>
      </c>
      <c r="Q66" s="489">
        <v>1</v>
      </c>
      <c r="S66" s="489">
        <v>0</v>
      </c>
      <c r="T66" s="489">
        <v>1</v>
      </c>
      <c r="U66" s="489">
        <v>1</v>
      </c>
      <c r="V66" s="489">
        <v>1</v>
      </c>
    </row>
    <row r="67" spans="1:22" x14ac:dyDescent="0.2">
      <c r="B67" s="503">
        <v>66</v>
      </c>
      <c r="C67" s="503" t="s">
        <v>1658</v>
      </c>
      <c r="D67" s="497"/>
      <c r="E67" s="497"/>
      <c r="F67" s="497"/>
      <c r="L67" s="386">
        <f t="shared" si="1"/>
        <v>1</v>
      </c>
      <c r="M67" s="489">
        <v>0</v>
      </c>
      <c r="N67" s="489">
        <v>1</v>
      </c>
      <c r="O67" s="489">
        <v>1</v>
      </c>
      <c r="P67" s="489">
        <v>1</v>
      </c>
      <c r="Q67" s="489">
        <v>1</v>
      </c>
      <c r="S67" s="489">
        <v>1</v>
      </c>
      <c r="T67" s="489">
        <v>1</v>
      </c>
      <c r="U67" s="489">
        <v>1</v>
      </c>
      <c r="V67" s="489">
        <v>1</v>
      </c>
    </row>
    <row r="68" spans="1:22" x14ac:dyDescent="0.2">
      <c r="B68" s="503">
        <v>67</v>
      </c>
      <c r="C68" s="503" t="s">
        <v>1830</v>
      </c>
      <c r="D68" s="497"/>
      <c r="E68" s="497"/>
      <c r="F68" s="497"/>
      <c r="L68" s="386">
        <f t="shared" ref="L68:L99" si="2">IF(L$3=0,0,IF(L$3=1,M68,IF(L$3=2,N68,IF(L$3=3,O68,IF(L$3=4,P68,IF(L$3=5,Q68,IF(L$3=6,S68,IF(L$3=7,T68,IF(L$3=8,U68,IF(L$3=9,V68,0))))))))))</f>
        <v>1</v>
      </c>
      <c r="M68" s="489">
        <v>0</v>
      </c>
      <c r="N68" s="489">
        <v>0</v>
      </c>
      <c r="O68" s="489">
        <v>1</v>
      </c>
      <c r="P68" s="489">
        <v>1</v>
      </c>
      <c r="Q68" s="489">
        <v>1</v>
      </c>
      <c r="S68" s="489">
        <v>0</v>
      </c>
      <c r="T68" s="489">
        <v>1</v>
      </c>
      <c r="U68" s="489">
        <v>1</v>
      </c>
      <c r="V68" s="489">
        <v>1</v>
      </c>
    </row>
    <row r="69" spans="1:22" x14ac:dyDescent="0.2">
      <c r="B69" s="503">
        <v>68</v>
      </c>
      <c r="C69" s="503" t="s">
        <v>1831</v>
      </c>
      <c r="D69" s="497"/>
      <c r="E69" s="497"/>
      <c r="F69" s="497"/>
      <c r="L69" s="386">
        <f t="shared" si="2"/>
        <v>1</v>
      </c>
      <c r="M69" s="489">
        <v>0</v>
      </c>
      <c r="N69" s="489">
        <v>0</v>
      </c>
      <c r="O69" s="489">
        <v>1</v>
      </c>
      <c r="P69" s="489">
        <v>1</v>
      </c>
      <c r="Q69" s="489">
        <v>1</v>
      </c>
      <c r="S69" s="489">
        <v>0</v>
      </c>
      <c r="T69" s="489">
        <v>1</v>
      </c>
      <c r="U69" s="489">
        <v>1</v>
      </c>
      <c r="V69" s="489">
        <v>1</v>
      </c>
    </row>
    <row r="70" spans="1:22" x14ac:dyDescent="0.2">
      <c r="B70" s="503">
        <v>69</v>
      </c>
      <c r="C70" s="503" t="s">
        <v>1659</v>
      </c>
      <c r="D70" s="497"/>
      <c r="E70" s="497"/>
      <c r="F70" s="497"/>
      <c r="L70" s="386">
        <f t="shared" si="2"/>
        <v>1</v>
      </c>
      <c r="M70" s="489">
        <v>0</v>
      </c>
      <c r="N70" s="489">
        <v>0</v>
      </c>
      <c r="O70" s="489">
        <v>1</v>
      </c>
      <c r="P70" s="489">
        <v>1</v>
      </c>
      <c r="Q70" s="489">
        <v>1</v>
      </c>
      <c r="S70" s="489">
        <v>0</v>
      </c>
      <c r="T70" s="489">
        <v>1</v>
      </c>
      <c r="U70" s="489">
        <v>1</v>
      </c>
      <c r="V70" s="489">
        <v>1</v>
      </c>
    </row>
    <row r="71" spans="1:22" s="496" customFormat="1" x14ac:dyDescent="0.2">
      <c r="A71" s="500">
        <v>7</v>
      </c>
      <c r="B71" s="969" t="s">
        <v>244</v>
      </c>
      <c r="C71" s="969"/>
      <c r="D71" s="506"/>
      <c r="E71" s="506"/>
      <c r="F71" s="506"/>
      <c r="G71" s="502"/>
      <c r="L71" s="386" t="str">
        <f t="shared" si="2"/>
        <v>x</v>
      </c>
      <c r="M71" s="428" t="s">
        <v>2</v>
      </c>
      <c r="N71" s="428" t="s">
        <v>2</v>
      </c>
      <c r="O71" s="428" t="s">
        <v>2</v>
      </c>
      <c r="P71" s="428" t="s">
        <v>2</v>
      </c>
      <c r="Q71" s="428" t="s">
        <v>2</v>
      </c>
      <c r="R71" s="428"/>
      <c r="S71" s="428" t="s">
        <v>2</v>
      </c>
      <c r="T71" s="428" t="s">
        <v>2</v>
      </c>
      <c r="U71" s="428" t="s">
        <v>2</v>
      </c>
      <c r="V71" s="428" t="s">
        <v>2</v>
      </c>
    </row>
    <row r="72" spans="1:22" x14ac:dyDescent="0.2">
      <c r="B72" s="503">
        <v>71</v>
      </c>
      <c r="C72" s="488" t="s">
        <v>1660</v>
      </c>
      <c r="D72" s="497"/>
      <c r="E72" s="497"/>
      <c r="F72" s="497"/>
      <c r="L72" s="386">
        <f t="shared" si="2"/>
        <v>1</v>
      </c>
      <c r="M72" s="489">
        <v>0</v>
      </c>
      <c r="N72" s="489">
        <v>1</v>
      </c>
      <c r="O72" s="489">
        <v>1</v>
      </c>
      <c r="P72" s="489">
        <v>1</v>
      </c>
      <c r="Q72" s="489">
        <v>1</v>
      </c>
      <c r="S72" s="489">
        <v>1</v>
      </c>
      <c r="T72" s="489">
        <v>1</v>
      </c>
      <c r="U72" s="489">
        <v>1</v>
      </c>
      <c r="V72" s="489">
        <v>1</v>
      </c>
    </row>
    <row r="73" spans="1:22" x14ac:dyDescent="0.2">
      <c r="B73" s="503">
        <v>72</v>
      </c>
      <c r="C73" s="503" t="s">
        <v>1661</v>
      </c>
      <c r="D73" s="497"/>
      <c r="E73" s="497"/>
      <c r="F73" s="497"/>
      <c r="L73" s="386">
        <f t="shared" si="2"/>
        <v>1</v>
      </c>
      <c r="M73" s="489">
        <v>0</v>
      </c>
      <c r="N73" s="489">
        <v>0</v>
      </c>
      <c r="O73" s="489">
        <v>1</v>
      </c>
      <c r="P73" s="489">
        <v>1</v>
      </c>
      <c r="Q73" s="489">
        <v>1</v>
      </c>
      <c r="S73" s="489">
        <v>0</v>
      </c>
      <c r="T73" s="489">
        <v>0</v>
      </c>
      <c r="U73" s="489">
        <v>0</v>
      </c>
      <c r="V73" s="489">
        <v>0</v>
      </c>
    </row>
    <row r="74" spans="1:22" x14ac:dyDescent="0.2">
      <c r="B74" s="503">
        <v>73</v>
      </c>
      <c r="C74" s="488" t="s">
        <v>1662</v>
      </c>
      <c r="D74" s="497"/>
      <c r="E74" s="497"/>
      <c r="F74" s="497"/>
      <c r="L74" s="386">
        <f t="shared" si="2"/>
        <v>1</v>
      </c>
      <c r="M74" s="489">
        <v>0</v>
      </c>
      <c r="N74" s="489">
        <v>0</v>
      </c>
      <c r="O74" s="489">
        <v>1</v>
      </c>
      <c r="P74" s="489">
        <v>1</v>
      </c>
      <c r="Q74" s="489">
        <v>1</v>
      </c>
      <c r="S74" s="489">
        <v>0</v>
      </c>
      <c r="T74" s="489">
        <v>0</v>
      </c>
      <c r="U74" s="489">
        <v>0</v>
      </c>
      <c r="V74" s="489">
        <v>0</v>
      </c>
    </row>
    <row r="75" spans="1:22" x14ac:dyDescent="0.2">
      <c r="B75" s="503">
        <v>74</v>
      </c>
      <c r="C75" s="503" t="s">
        <v>1663</v>
      </c>
      <c r="D75" s="497"/>
      <c r="E75" s="497"/>
      <c r="F75" s="497"/>
      <c r="L75" s="386">
        <f t="shared" si="2"/>
        <v>1</v>
      </c>
      <c r="M75" s="489">
        <v>0</v>
      </c>
      <c r="N75" s="489">
        <v>0</v>
      </c>
      <c r="O75" s="489">
        <v>1</v>
      </c>
      <c r="P75" s="489">
        <v>1</v>
      </c>
      <c r="Q75" s="489">
        <v>1</v>
      </c>
      <c r="S75" s="489">
        <v>0</v>
      </c>
      <c r="T75" s="489">
        <v>1</v>
      </c>
      <c r="U75" s="489">
        <v>1</v>
      </c>
      <c r="V75" s="489">
        <v>1</v>
      </c>
    </row>
    <row r="76" spans="1:22" x14ac:dyDescent="0.2">
      <c r="B76" s="503">
        <v>75</v>
      </c>
      <c r="C76" s="488" t="s">
        <v>1664</v>
      </c>
      <c r="D76" s="497"/>
      <c r="E76" s="497"/>
      <c r="F76" s="497"/>
      <c r="L76" s="386">
        <f t="shared" si="2"/>
        <v>1</v>
      </c>
      <c r="M76" s="489">
        <v>0</v>
      </c>
      <c r="N76" s="489">
        <v>0</v>
      </c>
      <c r="O76" s="489">
        <v>1</v>
      </c>
      <c r="P76" s="489">
        <v>1</v>
      </c>
      <c r="Q76" s="489">
        <v>1</v>
      </c>
      <c r="S76" s="489">
        <v>0</v>
      </c>
      <c r="T76" s="489">
        <v>1</v>
      </c>
      <c r="U76" s="489">
        <v>1</v>
      </c>
      <c r="V76" s="489">
        <v>1</v>
      </c>
    </row>
    <row r="77" spans="1:22" x14ac:dyDescent="0.2">
      <c r="B77" s="503">
        <v>76</v>
      </c>
      <c r="C77" s="503" t="s">
        <v>1665</v>
      </c>
      <c r="D77" s="497"/>
      <c r="E77" s="497"/>
      <c r="F77" s="497"/>
      <c r="L77" s="386">
        <f t="shared" si="2"/>
        <v>1</v>
      </c>
      <c r="M77" s="489">
        <v>0</v>
      </c>
      <c r="N77" s="489">
        <v>0</v>
      </c>
      <c r="O77" s="489">
        <v>1</v>
      </c>
      <c r="P77" s="489">
        <v>1</v>
      </c>
      <c r="Q77" s="489">
        <v>1</v>
      </c>
      <c r="S77" s="489">
        <v>0</v>
      </c>
      <c r="T77" s="489">
        <v>1</v>
      </c>
      <c r="U77" s="489">
        <v>1</v>
      </c>
      <c r="V77" s="489">
        <v>1</v>
      </c>
    </row>
    <row r="78" spans="1:22" x14ac:dyDescent="0.2">
      <c r="B78" s="503">
        <v>77</v>
      </c>
      <c r="C78" s="488" t="s">
        <v>1666</v>
      </c>
      <c r="D78" s="497"/>
      <c r="E78" s="497"/>
      <c r="F78" s="497"/>
      <c r="L78" s="386">
        <f t="shared" si="2"/>
        <v>1</v>
      </c>
      <c r="M78" s="489">
        <v>0</v>
      </c>
      <c r="N78" s="489">
        <v>0</v>
      </c>
      <c r="O78" s="489">
        <v>1</v>
      </c>
      <c r="P78" s="489">
        <v>1</v>
      </c>
      <c r="Q78" s="489">
        <v>1</v>
      </c>
      <c r="S78" s="489">
        <v>0</v>
      </c>
      <c r="T78" s="489">
        <v>0</v>
      </c>
      <c r="U78" s="489">
        <v>0</v>
      </c>
      <c r="V78" s="489">
        <v>0</v>
      </c>
    </row>
    <row r="79" spans="1:22" x14ac:dyDescent="0.2">
      <c r="B79" s="503">
        <v>78</v>
      </c>
      <c r="C79" s="503" t="s">
        <v>1667</v>
      </c>
      <c r="D79" s="497"/>
      <c r="E79" s="497"/>
      <c r="F79" s="497"/>
      <c r="L79" s="386">
        <f t="shared" si="2"/>
        <v>1</v>
      </c>
      <c r="M79" s="489">
        <v>0</v>
      </c>
      <c r="N79" s="489">
        <v>0</v>
      </c>
      <c r="O79" s="489">
        <v>1</v>
      </c>
      <c r="P79" s="489">
        <v>1</v>
      </c>
      <c r="Q79" s="489">
        <v>1</v>
      </c>
      <c r="S79" s="489">
        <v>0</v>
      </c>
      <c r="T79" s="489">
        <v>1</v>
      </c>
      <c r="U79" s="489">
        <v>1</v>
      </c>
      <c r="V79" s="489">
        <v>1</v>
      </c>
    </row>
    <row r="80" spans="1:22" x14ac:dyDescent="0.2">
      <c r="B80" s="503">
        <v>79</v>
      </c>
      <c r="C80" s="488" t="s">
        <v>1668</v>
      </c>
      <c r="D80" s="497"/>
      <c r="E80" s="497"/>
      <c r="F80" s="497"/>
      <c r="L80" s="386">
        <f t="shared" si="2"/>
        <v>1</v>
      </c>
      <c r="M80" s="489">
        <v>0</v>
      </c>
      <c r="N80" s="489">
        <v>0</v>
      </c>
      <c r="O80" s="489">
        <v>1</v>
      </c>
      <c r="P80" s="489">
        <v>1</v>
      </c>
      <c r="Q80" s="489">
        <v>1</v>
      </c>
      <c r="S80" s="489">
        <v>0</v>
      </c>
      <c r="T80" s="489">
        <v>1</v>
      </c>
      <c r="U80" s="489">
        <v>1</v>
      </c>
      <c r="V80" s="489">
        <v>1</v>
      </c>
    </row>
    <row r="81" spans="1:22" s="496" customFormat="1" x14ac:dyDescent="0.2">
      <c r="A81" s="500">
        <v>8</v>
      </c>
      <c r="B81" s="969" t="s">
        <v>1669</v>
      </c>
      <c r="C81" s="969"/>
      <c r="D81" s="506"/>
      <c r="E81" s="506"/>
      <c r="F81" s="506"/>
      <c r="G81" s="502"/>
      <c r="L81" s="386" t="str">
        <f t="shared" si="2"/>
        <v>x</v>
      </c>
      <c r="M81" s="428" t="s">
        <v>2</v>
      </c>
      <c r="N81" s="428" t="s">
        <v>2</v>
      </c>
      <c r="O81" s="428" t="s">
        <v>2</v>
      </c>
      <c r="P81" s="428" t="s">
        <v>2</v>
      </c>
      <c r="Q81" s="428" t="s">
        <v>2</v>
      </c>
      <c r="R81" s="428"/>
      <c r="S81" s="428" t="s">
        <v>2</v>
      </c>
      <c r="T81" s="428" t="s">
        <v>2</v>
      </c>
      <c r="U81" s="428" t="s">
        <v>2</v>
      </c>
      <c r="V81" s="428" t="s">
        <v>2</v>
      </c>
    </row>
    <row r="82" spans="1:22" x14ac:dyDescent="0.2">
      <c r="B82" s="503">
        <v>81</v>
      </c>
      <c r="C82" s="503" t="s">
        <v>1670</v>
      </c>
      <c r="D82" s="497"/>
      <c r="E82" s="497"/>
      <c r="F82" s="497"/>
      <c r="L82" s="386">
        <f t="shared" si="2"/>
        <v>1</v>
      </c>
      <c r="M82" s="489">
        <v>0</v>
      </c>
      <c r="N82" s="489">
        <v>0</v>
      </c>
      <c r="O82" s="489">
        <v>1</v>
      </c>
      <c r="P82" s="489">
        <v>1</v>
      </c>
      <c r="Q82" s="489">
        <v>1</v>
      </c>
      <c r="S82" s="489">
        <v>0</v>
      </c>
      <c r="T82" s="489">
        <v>0</v>
      </c>
      <c r="U82" s="489">
        <v>0</v>
      </c>
      <c r="V82" s="489">
        <v>0</v>
      </c>
    </row>
    <row r="83" spans="1:22" x14ac:dyDescent="0.2">
      <c r="B83" s="503">
        <v>82</v>
      </c>
      <c r="C83" s="503" t="s">
        <v>1671</v>
      </c>
      <c r="D83" s="497"/>
      <c r="E83" s="497"/>
      <c r="F83" s="497"/>
      <c r="L83" s="386">
        <f t="shared" si="2"/>
        <v>1</v>
      </c>
      <c r="M83" s="489">
        <v>0</v>
      </c>
      <c r="N83" s="489">
        <v>0</v>
      </c>
      <c r="O83" s="489">
        <v>1</v>
      </c>
      <c r="P83" s="489">
        <v>1</v>
      </c>
      <c r="Q83" s="489">
        <v>1</v>
      </c>
      <c r="S83" s="489">
        <v>0</v>
      </c>
      <c r="T83" s="489">
        <v>0</v>
      </c>
      <c r="U83" s="489">
        <v>0</v>
      </c>
      <c r="V83" s="489">
        <v>0</v>
      </c>
    </row>
    <row r="84" spans="1:22" x14ac:dyDescent="0.2">
      <c r="B84" s="503">
        <v>83</v>
      </c>
      <c r="C84" s="503" t="s">
        <v>1839</v>
      </c>
      <c r="D84" s="497"/>
      <c r="E84" s="497"/>
      <c r="F84" s="497"/>
      <c r="L84" s="386">
        <f t="shared" si="2"/>
        <v>1</v>
      </c>
      <c r="M84" s="489">
        <v>0</v>
      </c>
      <c r="N84" s="489">
        <v>0</v>
      </c>
      <c r="O84" s="489">
        <v>1</v>
      </c>
      <c r="P84" s="489">
        <v>1</v>
      </c>
      <c r="Q84" s="489">
        <v>1</v>
      </c>
      <c r="S84" s="489">
        <v>0</v>
      </c>
      <c r="T84" s="489">
        <v>0</v>
      </c>
      <c r="U84" s="489">
        <v>0</v>
      </c>
      <c r="V84" s="489">
        <v>0</v>
      </c>
    </row>
    <row r="85" spans="1:22" x14ac:dyDescent="0.2">
      <c r="B85" s="503">
        <v>84</v>
      </c>
      <c r="C85" s="503" t="s">
        <v>1672</v>
      </c>
      <c r="D85" s="497"/>
      <c r="E85" s="497"/>
      <c r="F85" s="497"/>
      <c r="L85" s="386">
        <f t="shared" si="2"/>
        <v>1</v>
      </c>
      <c r="M85" s="489">
        <v>0</v>
      </c>
      <c r="N85" s="489">
        <v>0</v>
      </c>
      <c r="O85" s="489">
        <v>1</v>
      </c>
      <c r="P85" s="489">
        <v>1</v>
      </c>
      <c r="Q85" s="489">
        <v>1</v>
      </c>
      <c r="S85" s="489">
        <v>0</v>
      </c>
      <c r="T85" s="489">
        <v>0</v>
      </c>
      <c r="U85" s="489">
        <v>0</v>
      </c>
      <c r="V85" s="489">
        <v>0</v>
      </c>
    </row>
    <row r="86" spans="1:22" x14ac:dyDescent="0.2">
      <c r="B86" s="503">
        <v>85</v>
      </c>
      <c r="C86" s="503" t="s">
        <v>1673</v>
      </c>
      <c r="D86" s="497"/>
      <c r="E86" s="497"/>
      <c r="F86" s="497"/>
      <c r="L86" s="386">
        <f t="shared" si="2"/>
        <v>1</v>
      </c>
      <c r="M86" s="489">
        <v>0</v>
      </c>
      <c r="N86" s="489">
        <v>1</v>
      </c>
      <c r="O86" s="489">
        <v>1</v>
      </c>
      <c r="P86" s="489">
        <v>1</v>
      </c>
      <c r="Q86" s="489">
        <v>1</v>
      </c>
      <c r="S86" s="489">
        <v>0</v>
      </c>
      <c r="T86" s="489">
        <v>0</v>
      </c>
      <c r="U86" s="489">
        <v>0</v>
      </c>
      <c r="V86" s="489">
        <v>0</v>
      </c>
    </row>
    <row r="87" spans="1:22" x14ac:dyDescent="0.2">
      <c r="B87" s="503">
        <v>86</v>
      </c>
      <c r="C87" s="503" t="s">
        <v>1674</v>
      </c>
      <c r="D87" s="497"/>
      <c r="E87" s="497"/>
      <c r="F87" s="497"/>
      <c r="L87" s="386">
        <f t="shared" si="2"/>
        <v>1</v>
      </c>
      <c r="M87" s="489">
        <v>0</v>
      </c>
      <c r="N87" s="489">
        <v>0</v>
      </c>
      <c r="O87" s="489">
        <v>1</v>
      </c>
      <c r="P87" s="489">
        <v>1</v>
      </c>
      <c r="Q87" s="489">
        <v>1</v>
      </c>
      <c r="S87" s="489">
        <v>0</v>
      </c>
      <c r="T87" s="489">
        <v>0</v>
      </c>
      <c r="U87" s="489">
        <v>0</v>
      </c>
      <c r="V87" s="489">
        <v>0</v>
      </c>
    </row>
    <row r="88" spans="1:22" x14ac:dyDescent="0.2">
      <c r="B88" s="503">
        <v>87</v>
      </c>
      <c r="C88" s="503" t="s">
        <v>1675</v>
      </c>
      <c r="D88" s="497"/>
      <c r="E88" s="497"/>
      <c r="F88" s="497"/>
      <c r="L88" s="386">
        <f t="shared" si="2"/>
        <v>1</v>
      </c>
      <c r="M88" s="489">
        <v>0</v>
      </c>
      <c r="N88" s="489">
        <v>0</v>
      </c>
      <c r="O88" s="489">
        <v>1</v>
      </c>
      <c r="P88" s="489">
        <v>1</v>
      </c>
      <c r="Q88" s="489">
        <v>1</v>
      </c>
      <c r="S88" s="489">
        <v>0</v>
      </c>
      <c r="T88" s="489">
        <v>0</v>
      </c>
      <c r="U88" s="489">
        <v>0</v>
      </c>
      <c r="V88" s="489">
        <v>0</v>
      </c>
    </row>
    <row r="89" spans="1:22" x14ac:dyDescent="0.2">
      <c r="B89" s="503">
        <v>88</v>
      </c>
      <c r="C89" s="503" t="s">
        <v>1840</v>
      </c>
      <c r="D89" s="497"/>
      <c r="E89" s="497"/>
      <c r="F89" s="497"/>
      <c r="L89" s="386">
        <f t="shared" si="2"/>
        <v>1</v>
      </c>
      <c r="M89" s="489">
        <v>0</v>
      </c>
      <c r="N89" s="489">
        <v>1</v>
      </c>
      <c r="O89" s="489">
        <v>1</v>
      </c>
      <c r="P89" s="489">
        <v>1</v>
      </c>
      <c r="Q89" s="489">
        <v>1</v>
      </c>
      <c r="S89" s="489">
        <v>0</v>
      </c>
      <c r="T89" s="489">
        <v>0</v>
      </c>
      <c r="U89" s="489">
        <v>0</v>
      </c>
      <c r="V89" s="489">
        <v>0</v>
      </c>
    </row>
    <row r="90" spans="1:22" x14ac:dyDescent="0.2">
      <c r="B90" s="503">
        <v>89</v>
      </c>
      <c r="C90" s="503" t="s">
        <v>1676</v>
      </c>
      <c r="D90" s="497"/>
      <c r="E90" s="497"/>
      <c r="F90" s="497"/>
      <c r="L90" s="386">
        <f t="shared" si="2"/>
        <v>1</v>
      </c>
      <c r="M90" s="489">
        <v>0</v>
      </c>
      <c r="N90" s="489">
        <v>1</v>
      </c>
      <c r="O90" s="489">
        <v>1</v>
      </c>
      <c r="P90" s="489">
        <v>1</v>
      </c>
      <c r="Q90" s="489">
        <v>1</v>
      </c>
      <c r="S90" s="489">
        <v>0</v>
      </c>
      <c r="T90" s="489">
        <v>0</v>
      </c>
      <c r="U90" s="489">
        <v>0</v>
      </c>
      <c r="V90" s="489">
        <v>0</v>
      </c>
    </row>
    <row r="91" spans="1:22" s="496" customFormat="1" x14ac:dyDescent="0.2">
      <c r="A91" s="500">
        <v>9</v>
      </c>
      <c r="B91" s="969" t="s">
        <v>1677</v>
      </c>
      <c r="C91" s="969"/>
      <c r="D91" s="506"/>
      <c r="E91" s="506"/>
      <c r="F91" s="506"/>
      <c r="G91" s="502"/>
      <c r="L91" s="386" t="str">
        <f t="shared" si="2"/>
        <v>x</v>
      </c>
      <c r="M91" s="428" t="s">
        <v>2</v>
      </c>
      <c r="N91" s="428" t="s">
        <v>2</v>
      </c>
      <c r="O91" s="428" t="s">
        <v>2</v>
      </c>
      <c r="P91" s="428" t="s">
        <v>2</v>
      </c>
      <c r="Q91" s="428" t="s">
        <v>2</v>
      </c>
      <c r="R91" s="428"/>
      <c r="S91" s="428" t="s">
        <v>2</v>
      </c>
      <c r="T91" s="428" t="s">
        <v>2</v>
      </c>
      <c r="U91" s="428" t="s">
        <v>2</v>
      </c>
      <c r="V91" s="428" t="s">
        <v>2</v>
      </c>
    </row>
    <row r="92" spans="1:22" x14ac:dyDescent="0.2">
      <c r="B92" s="503">
        <v>91</v>
      </c>
      <c r="C92" s="488" t="s">
        <v>1678</v>
      </c>
      <c r="D92" s="497"/>
      <c r="E92" s="497"/>
      <c r="F92" s="497"/>
      <c r="L92" s="386">
        <f t="shared" si="2"/>
        <v>1</v>
      </c>
      <c r="M92" s="489">
        <v>0</v>
      </c>
      <c r="N92" s="489">
        <v>0</v>
      </c>
      <c r="O92" s="489">
        <v>1</v>
      </c>
      <c r="P92" s="489">
        <v>1</v>
      </c>
      <c r="Q92" s="489">
        <v>1</v>
      </c>
      <c r="S92" s="489">
        <v>0</v>
      </c>
      <c r="T92" s="489">
        <v>0</v>
      </c>
      <c r="U92" s="489">
        <v>0</v>
      </c>
      <c r="V92" s="489">
        <v>0</v>
      </c>
    </row>
    <row r="93" spans="1:22" x14ac:dyDescent="0.2">
      <c r="B93" s="503">
        <v>92</v>
      </c>
      <c r="C93" s="488" t="s">
        <v>1679</v>
      </c>
      <c r="D93" s="497"/>
      <c r="E93" s="497"/>
      <c r="F93" s="497"/>
      <c r="L93" s="386">
        <f t="shared" si="2"/>
        <v>1</v>
      </c>
      <c r="M93" s="489">
        <v>1</v>
      </c>
      <c r="N93" s="489">
        <v>1</v>
      </c>
      <c r="O93" s="489">
        <v>1</v>
      </c>
      <c r="P93" s="489">
        <v>1</v>
      </c>
      <c r="Q93" s="489">
        <v>1</v>
      </c>
      <c r="S93" s="489">
        <v>1</v>
      </c>
      <c r="T93" s="489">
        <v>1</v>
      </c>
      <c r="U93" s="489">
        <v>1</v>
      </c>
      <c r="V93" s="489">
        <v>1</v>
      </c>
    </row>
    <row r="94" spans="1:22" x14ac:dyDescent="0.2">
      <c r="B94" s="503">
        <v>93</v>
      </c>
      <c r="C94" s="488" t="s">
        <v>1680</v>
      </c>
      <c r="D94" s="497"/>
      <c r="E94" s="497"/>
      <c r="F94" s="497"/>
      <c r="L94" s="386">
        <f t="shared" si="2"/>
        <v>1</v>
      </c>
      <c r="M94" s="489">
        <v>1</v>
      </c>
      <c r="N94" s="489">
        <v>1</v>
      </c>
      <c r="O94" s="489">
        <v>1</v>
      </c>
      <c r="P94" s="489">
        <v>1</v>
      </c>
      <c r="Q94" s="489">
        <v>1</v>
      </c>
      <c r="S94" s="489">
        <v>0</v>
      </c>
      <c r="T94" s="489">
        <v>0</v>
      </c>
      <c r="U94" s="489">
        <v>0</v>
      </c>
      <c r="V94" s="489">
        <v>0</v>
      </c>
    </row>
    <row r="95" spans="1:22" x14ac:dyDescent="0.2">
      <c r="B95" s="503">
        <v>94</v>
      </c>
      <c r="C95" s="488" t="s">
        <v>1681</v>
      </c>
      <c r="D95" s="497"/>
      <c r="E95" s="497"/>
      <c r="F95" s="497"/>
      <c r="L95" s="386">
        <f t="shared" si="2"/>
        <v>1</v>
      </c>
      <c r="M95" s="489">
        <v>0</v>
      </c>
      <c r="N95" s="489">
        <v>1</v>
      </c>
      <c r="O95" s="489">
        <v>1</v>
      </c>
      <c r="P95" s="489">
        <v>1</v>
      </c>
      <c r="Q95" s="489">
        <v>1</v>
      </c>
      <c r="S95" s="489">
        <v>1</v>
      </c>
      <c r="T95" s="489">
        <v>1</v>
      </c>
      <c r="U95" s="489">
        <v>1</v>
      </c>
      <c r="V95" s="489">
        <v>1</v>
      </c>
    </row>
    <row r="96" spans="1:22" x14ac:dyDescent="0.2">
      <c r="B96" s="503">
        <v>95</v>
      </c>
      <c r="C96" s="488" t="s">
        <v>1682</v>
      </c>
      <c r="D96" s="497"/>
      <c r="E96" s="497"/>
      <c r="F96" s="497"/>
      <c r="L96" s="386">
        <f t="shared" si="2"/>
        <v>1</v>
      </c>
      <c r="M96" s="489">
        <v>0</v>
      </c>
      <c r="N96" s="489">
        <v>0</v>
      </c>
      <c r="O96" s="489">
        <v>1</v>
      </c>
      <c r="P96" s="489">
        <v>1</v>
      </c>
      <c r="Q96" s="489">
        <v>1</v>
      </c>
      <c r="S96" s="489">
        <v>0</v>
      </c>
      <c r="T96" s="489">
        <v>1</v>
      </c>
      <c r="U96" s="489">
        <v>1</v>
      </c>
      <c r="V96" s="489">
        <v>1</v>
      </c>
    </row>
    <row r="97" spans="2:23" x14ac:dyDescent="0.2">
      <c r="B97" s="503">
        <v>96</v>
      </c>
      <c r="C97" s="488" t="s">
        <v>1683</v>
      </c>
      <c r="D97" s="497"/>
      <c r="E97" s="497"/>
      <c r="F97" s="497"/>
      <c r="L97" s="386">
        <f t="shared" si="2"/>
        <v>1</v>
      </c>
      <c r="M97" s="489">
        <v>0</v>
      </c>
      <c r="N97" s="489">
        <v>0</v>
      </c>
      <c r="O97" s="489">
        <v>1</v>
      </c>
      <c r="P97" s="489">
        <v>1</v>
      </c>
      <c r="Q97" s="489">
        <v>1</v>
      </c>
      <c r="S97" s="489">
        <v>0</v>
      </c>
      <c r="T97" s="489">
        <v>1</v>
      </c>
      <c r="U97" s="489">
        <v>1</v>
      </c>
      <c r="V97" s="489">
        <v>1</v>
      </c>
    </row>
    <row r="98" spans="2:23" x14ac:dyDescent="0.2">
      <c r="B98" s="503">
        <v>97</v>
      </c>
      <c r="C98" s="525" t="s">
        <v>1684</v>
      </c>
      <c r="D98" s="497"/>
      <c r="E98" s="497"/>
      <c r="F98" s="497"/>
      <c r="L98" s="386">
        <f t="shared" si="2"/>
        <v>1</v>
      </c>
      <c r="M98" s="489">
        <v>0</v>
      </c>
      <c r="N98" s="489">
        <v>0</v>
      </c>
      <c r="O98" s="489">
        <v>1</v>
      </c>
      <c r="P98" s="489">
        <v>1</v>
      </c>
      <c r="Q98" s="489">
        <v>1</v>
      </c>
      <c r="S98" s="489">
        <v>0</v>
      </c>
      <c r="T98" s="489">
        <v>1</v>
      </c>
      <c r="U98" s="489">
        <v>1</v>
      </c>
      <c r="V98" s="489">
        <v>1</v>
      </c>
    </row>
    <row r="99" spans="2:23" x14ac:dyDescent="0.2">
      <c r="B99" s="503">
        <v>98</v>
      </c>
      <c r="C99" s="525" t="s">
        <v>1685</v>
      </c>
      <c r="D99" s="497"/>
      <c r="E99" s="497"/>
      <c r="F99" s="497"/>
      <c r="L99" s="386">
        <f t="shared" si="2"/>
        <v>1</v>
      </c>
      <c r="M99" s="489">
        <v>0</v>
      </c>
      <c r="N99" s="489">
        <v>0</v>
      </c>
      <c r="O99" s="489">
        <v>1</v>
      </c>
      <c r="P99" s="489">
        <v>1</v>
      </c>
      <c r="Q99" s="489">
        <v>1</v>
      </c>
      <c r="S99" s="489">
        <v>0</v>
      </c>
      <c r="T99" s="489">
        <v>1</v>
      </c>
      <c r="U99" s="489">
        <v>1</v>
      </c>
      <c r="V99" s="489">
        <v>1</v>
      </c>
    </row>
    <row r="100" spans="2:23" x14ac:dyDescent="0.2">
      <c r="B100" s="503">
        <v>99</v>
      </c>
      <c r="C100" s="488" t="s">
        <v>1686</v>
      </c>
      <c r="D100" s="497"/>
      <c r="E100" s="497"/>
      <c r="F100" s="497"/>
      <c r="L100" s="386">
        <f t="shared" ref="L100" si="3">IF(L$3=0,0,IF(L$3=1,M100,IF(L$3=2,N100,IF(L$3=3,O100,IF(L$3=4,P100,IF(L$3=5,Q100,IF(L$3=6,S100,IF(L$3=7,T100,IF(L$3=8,U100,IF(L$3=9,V100,0))))))))))</f>
        <v>1</v>
      </c>
      <c r="M100" s="489">
        <v>0</v>
      </c>
      <c r="N100" s="489">
        <v>1</v>
      </c>
      <c r="O100" s="489">
        <v>1</v>
      </c>
      <c r="P100" s="489">
        <v>1</v>
      </c>
      <c r="Q100" s="489">
        <v>1</v>
      </c>
      <c r="S100" s="489">
        <v>1</v>
      </c>
      <c r="T100" s="489">
        <v>1</v>
      </c>
      <c r="U100" s="489">
        <v>1</v>
      </c>
      <c r="V100" s="489">
        <v>1</v>
      </c>
    </row>
    <row r="101" spans="2:23" ht="12.75" x14ac:dyDescent="0.2">
      <c r="L101" s="414"/>
      <c r="M101" s="414"/>
      <c r="N101" s="966" t="s">
        <v>564</v>
      </c>
      <c r="O101" s="967"/>
      <c r="P101" s="967"/>
      <c r="Q101" s="968"/>
      <c r="R101" s="509"/>
      <c r="S101" s="966" t="s">
        <v>565</v>
      </c>
      <c r="T101" s="967"/>
      <c r="U101" s="967"/>
      <c r="V101" s="968"/>
    </row>
    <row r="102" spans="2:23" x14ac:dyDescent="0.2">
      <c r="L102" s="414"/>
      <c r="M102" s="414" t="s">
        <v>569</v>
      </c>
      <c r="N102" s="414" t="s">
        <v>568</v>
      </c>
      <c r="O102" s="414" t="s">
        <v>567</v>
      </c>
      <c r="P102" s="414" t="s">
        <v>566</v>
      </c>
      <c r="Q102" s="414" t="s">
        <v>573</v>
      </c>
      <c r="R102" s="414"/>
      <c r="S102" s="414" t="s">
        <v>572</v>
      </c>
      <c r="T102" s="414" t="s">
        <v>571</v>
      </c>
      <c r="U102" s="414" t="s">
        <v>570</v>
      </c>
      <c r="V102" s="414" t="s">
        <v>574</v>
      </c>
    </row>
    <row r="103" spans="2:23" x14ac:dyDescent="0.2">
      <c r="M103" s="414">
        <f t="shared" ref="M103:Q105" si="4">COUNTIF(M$11:M$100,$W103)</f>
        <v>9</v>
      </c>
      <c r="N103" s="414">
        <f t="shared" si="4"/>
        <v>24</v>
      </c>
      <c r="O103" s="414">
        <f t="shared" si="4"/>
        <v>81</v>
      </c>
      <c r="P103" s="414">
        <f t="shared" si="4"/>
        <v>81</v>
      </c>
      <c r="Q103" s="414">
        <f t="shared" si="4"/>
        <v>81</v>
      </c>
      <c r="R103" s="414"/>
      <c r="S103" s="414">
        <f t="shared" ref="S103:V105" si="5">COUNTIF(S$11:S$100,$W103)</f>
        <v>15</v>
      </c>
      <c r="T103" s="414">
        <f t="shared" si="5"/>
        <v>36</v>
      </c>
      <c r="U103" s="414">
        <f t="shared" si="5"/>
        <v>36</v>
      </c>
      <c r="V103" s="414">
        <f t="shared" si="5"/>
        <v>36</v>
      </c>
      <c r="W103" s="414">
        <v>1</v>
      </c>
    </row>
    <row r="104" spans="2:23" x14ac:dyDescent="0.2">
      <c r="M104" s="414">
        <f t="shared" si="4"/>
        <v>72</v>
      </c>
      <c r="N104" s="414">
        <f t="shared" si="4"/>
        <v>57</v>
      </c>
      <c r="O104" s="414">
        <f t="shared" si="4"/>
        <v>0</v>
      </c>
      <c r="P104" s="414">
        <f t="shared" si="4"/>
        <v>0</v>
      </c>
      <c r="Q104" s="414">
        <f t="shared" si="4"/>
        <v>0</v>
      </c>
      <c r="R104" s="414"/>
      <c r="S104" s="414">
        <f t="shared" si="5"/>
        <v>66</v>
      </c>
      <c r="T104" s="414">
        <f t="shared" si="5"/>
        <v>45</v>
      </c>
      <c r="U104" s="414">
        <f t="shared" si="5"/>
        <v>45</v>
      </c>
      <c r="V104" s="414">
        <f t="shared" si="5"/>
        <v>45</v>
      </c>
      <c r="W104" s="414">
        <v>0</v>
      </c>
    </row>
    <row r="105" spans="2:23" x14ac:dyDescent="0.2">
      <c r="M105" s="414">
        <f t="shared" si="4"/>
        <v>9</v>
      </c>
      <c r="N105" s="414">
        <f t="shared" si="4"/>
        <v>9</v>
      </c>
      <c r="O105" s="414">
        <f t="shared" si="4"/>
        <v>9</v>
      </c>
      <c r="P105" s="414">
        <f t="shared" si="4"/>
        <v>9</v>
      </c>
      <c r="Q105" s="414">
        <f t="shared" si="4"/>
        <v>9</v>
      </c>
      <c r="R105" s="414"/>
      <c r="S105" s="414">
        <f t="shared" si="5"/>
        <v>9</v>
      </c>
      <c r="T105" s="414">
        <f t="shared" si="5"/>
        <v>9</v>
      </c>
      <c r="U105" s="414">
        <f t="shared" si="5"/>
        <v>9</v>
      </c>
      <c r="V105" s="414">
        <f t="shared" si="5"/>
        <v>9</v>
      </c>
      <c r="W105" s="414" t="s">
        <v>2</v>
      </c>
    </row>
    <row r="106" spans="2:23" ht="15" x14ac:dyDescent="0.2">
      <c r="M106" s="414">
        <f>SUM(M103:M105)</f>
        <v>90</v>
      </c>
      <c r="N106" s="414">
        <f>SUM(N103:N105)</f>
        <v>90</v>
      </c>
      <c r="O106" s="414">
        <f>SUM(O103:O105)</f>
        <v>90</v>
      </c>
      <c r="P106" s="414">
        <f>SUM(P103:P105)</f>
        <v>90</v>
      </c>
      <c r="Q106" s="414">
        <f>SUM(Q103:Q105)</f>
        <v>90</v>
      </c>
      <c r="R106" s="430"/>
      <c r="S106" s="414">
        <f>SUM(S103:S105)</f>
        <v>90</v>
      </c>
      <c r="T106" s="414">
        <f>SUM(T103:T105)</f>
        <v>90</v>
      </c>
      <c r="U106" s="414">
        <f>SUM(U103:U105)</f>
        <v>90</v>
      </c>
      <c r="V106" s="414">
        <f>SUM(V103:V105)</f>
        <v>90</v>
      </c>
      <c r="W106" s="414" t="s">
        <v>1601</v>
      </c>
    </row>
  </sheetData>
  <customSheetViews>
    <customSheetView guid="{FE4792CB-B919-4F54-9754-D4BC1B90FDF0}" state="hidden">
      <selection activeCell="I2" sqref="I2"/>
      <pageMargins left="0.59055118110236227" right="0.59055118110236227" top="0.78740157480314965" bottom="0.39370078740157483" header="0.31496062992125984" footer="0.31496062992125984"/>
      <pageSetup paperSize="9" orientation="portrait" horizontalDpi="300" verticalDpi="0" r:id="rId1"/>
    </customSheetView>
  </customSheetViews>
  <mergeCells count="13">
    <mergeCell ref="B41:C41"/>
    <mergeCell ref="B1:C1"/>
    <mergeCell ref="A2:A10"/>
    <mergeCell ref="B11:C11"/>
    <mergeCell ref="B21:C21"/>
    <mergeCell ref="B31:C31"/>
    <mergeCell ref="N101:Q101"/>
    <mergeCell ref="S101:V101"/>
    <mergeCell ref="B51:C51"/>
    <mergeCell ref="B61:C61"/>
    <mergeCell ref="B71:C71"/>
    <mergeCell ref="B81:C81"/>
    <mergeCell ref="B91:C91"/>
  </mergeCells>
  <pageMargins left="0.59055118110236227" right="0.59055118110236227" top="0.78740157480314965" bottom="0.39370078740157483" header="0.31496062992125984" footer="0.31496062992125984"/>
  <pageSetup paperSize="9" orientation="portrait" horizontalDpi="30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MT-ETUS</vt:lpstr>
      <vt:lpstr>CLIMA</vt:lpstr>
      <vt:lpstr>COMPLEMENTOS</vt:lpstr>
      <vt:lpstr>Lista de chequeo MT</vt:lpstr>
      <vt:lpstr>Revisión de planos</vt:lpstr>
      <vt:lpstr>'Lista de chequeo MT'!Área_de_impresión</vt:lpstr>
      <vt:lpstr>'Revisión de planos'!Área_de_impresión</vt:lpstr>
      <vt:lpstr>'Lista de chequeo MT'!Títulos_a_imprimir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Juancarlos</dc:creator>
  <cp:lastModifiedBy>Ana Valentina Stern</cp:lastModifiedBy>
  <cp:lastPrinted>2021-09-01T12:27:15Z</cp:lastPrinted>
  <dcterms:created xsi:type="dcterms:W3CDTF">2013-01-14T10:45:26Z</dcterms:created>
  <dcterms:modified xsi:type="dcterms:W3CDTF">2021-09-01T13:46:51Z</dcterms:modified>
</cp:coreProperties>
</file>