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ustomProperty2.bin" ContentType="application/vnd.openxmlformats-officedocument.spreadsheetml.customProperty"/>
  <Override PartName="/xl/drawings/drawing2.xml" ContentType="application/vnd.openxmlformats-officedocument.drawing+xml"/>
  <Override PartName="/xl/customProperty3.bin" ContentType="application/vnd.openxmlformats-officedocument.spreadsheetml.customProperty"/>
  <Override PartName="/xl/drawings/drawing3.xml" ContentType="application/vnd.openxmlformats-officedocument.drawing+xml"/>
  <Override PartName="/xl/customProperty4.bin" ContentType="application/vnd.openxmlformats-officedocument.spreadsheetml.customProperty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Regulacion\GAS por red\Web\"/>
    </mc:Choice>
  </mc:AlternateContent>
  <bookViews>
    <workbookView xWindow="0" yWindow="0" windowWidth="24000" windowHeight="9135" tabRatio="500"/>
  </bookViews>
  <sheets>
    <sheet name="Sur1" sheetId="4" r:id="rId1"/>
    <sheet name="Sur2" sheetId="5" r:id="rId2"/>
    <sheet name="Norte1" sheetId="6" r:id="rId3"/>
    <sheet name="Norte2" sheetId="7" r:id="rId4"/>
  </sheet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L26" i="7" l="1"/>
  <c r="K26" i="7"/>
  <c r="G26" i="7"/>
  <c r="F26" i="7"/>
  <c r="C26" i="7"/>
  <c r="L25" i="7"/>
  <c r="K25" i="7"/>
  <c r="G25" i="7"/>
  <c r="F25" i="7"/>
  <c r="C25" i="7"/>
  <c r="L24" i="7"/>
  <c r="K24" i="7"/>
  <c r="G24" i="7"/>
  <c r="F24" i="7"/>
  <c r="C24" i="7"/>
  <c r="L26" i="5"/>
  <c r="K26" i="5"/>
  <c r="G26" i="5"/>
  <c r="F26" i="5"/>
  <c r="C26" i="5"/>
  <c r="L25" i="5"/>
  <c r="K25" i="5"/>
  <c r="G25" i="5"/>
  <c r="F25" i="5"/>
  <c r="C25" i="5"/>
  <c r="L24" i="5"/>
  <c r="K24" i="5"/>
  <c r="G24" i="5"/>
  <c r="F24" i="5"/>
  <c r="C24" i="5"/>
  <c r="L23" i="7" l="1"/>
  <c r="L22" i="7"/>
  <c r="K23" i="7"/>
  <c r="G23" i="7"/>
  <c r="F23" i="7"/>
  <c r="C23" i="7"/>
  <c r="K22" i="7"/>
  <c r="G22" i="7"/>
  <c r="F22" i="7"/>
  <c r="C22" i="7"/>
  <c r="L21" i="7"/>
  <c r="K21" i="7"/>
  <c r="G21" i="7"/>
  <c r="F21" i="7"/>
  <c r="C21" i="7"/>
  <c r="C20" i="7"/>
  <c r="F20" i="7"/>
  <c r="G20" i="7"/>
  <c r="K20" i="7"/>
  <c r="L20" i="7"/>
  <c r="L19" i="7"/>
  <c r="K19" i="7"/>
  <c r="G19" i="7"/>
  <c r="F19" i="7"/>
  <c r="C19" i="7"/>
  <c r="L18" i="7"/>
  <c r="K18" i="7"/>
  <c r="G18" i="7"/>
  <c r="F18" i="7"/>
  <c r="C18" i="7"/>
  <c r="L17" i="7"/>
  <c r="K17" i="7"/>
  <c r="G17" i="7"/>
  <c r="F17" i="7"/>
  <c r="C17" i="7"/>
  <c r="L16" i="7"/>
  <c r="K16" i="7"/>
  <c r="G16" i="7"/>
  <c r="F16" i="7"/>
  <c r="C16" i="7"/>
  <c r="L23" i="5"/>
  <c r="K23" i="5"/>
  <c r="G23" i="5"/>
  <c r="F23" i="5"/>
  <c r="C23" i="5"/>
  <c r="L22" i="5"/>
  <c r="K22" i="5"/>
  <c r="G22" i="5"/>
  <c r="F22" i="5"/>
  <c r="C22" i="5"/>
  <c r="L21" i="5"/>
  <c r="K21" i="5"/>
  <c r="G21" i="5"/>
  <c r="F21" i="5"/>
  <c r="C21" i="5"/>
  <c r="C20" i="5"/>
  <c r="F20" i="5"/>
  <c r="G20" i="5"/>
  <c r="K20" i="5"/>
  <c r="L20" i="5"/>
  <c r="L19" i="5"/>
  <c r="K19" i="5"/>
  <c r="G19" i="5"/>
  <c r="F19" i="5"/>
  <c r="C19" i="5"/>
  <c r="L18" i="5"/>
  <c r="K18" i="5"/>
  <c r="G18" i="5"/>
  <c r="F18" i="5"/>
  <c r="C18" i="5"/>
  <c r="L17" i="5"/>
  <c r="K17" i="5"/>
  <c r="G17" i="5"/>
  <c r="F17" i="5"/>
  <c r="C17" i="5"/>
  <c r="L16" i="5"/>
  <c r="K16" i="5"/>
  <c r="G16" i="5"/>
  <c r="F16" i="5"/>
  <c r="C16" i="5"/>
  <c r="L15" i="7" l="1"/>
  <c r="L14" i="7"/>
  <c r="K14" i="7"/>
  <c r="G14" i="7"/>
  <c r="F14" i="7"/>
  <c r="C14" i="7"/>
  <c r="L14" i="5"/>
  <c r="K14" i="5"/>
  <c r="G14" i="5"/>
  <c r="F14" i="5"/>
  <c r="C14" i="5"/>
  <c r="C15" i="5"/>
  <c r="F15" i="5"/>
  <c r="G15" i="5"/>
  <c r="K15" i="5"/>
  <c r="L15" i="5"/>
  <c r="C15" i="7"/>
  <c r="F15" i="7"/>
  <c r="G15" i="7"/>
  <c r="K15" i="7"/>
  <c r="L13" i="7"/>
  <c r="K13" i="7"/>
  <c r="G13" i="7"/>
  <c r="F13" i="7"/>
  <c r="C13" i="7"/>
  <c r="C12" i="7"/>
  <c r="F12" i="7"/>
  <c r="G12" i="7"/>
  <c r="K12" i="7"/>
  <c r="L12" i="7"/>
  <c r="L13" i="5" l="1"/>
  <c r="K13" i="5"/>
  <c r="G13" i="5"/>
  <c r="F13" i="5"/>
  <c r="C13" i="5"/>
  <c r="G11" i="7" l="1"/>
  <c r="F11" i="7"/>
  <c r="C11" i="7"/>
  <c r="G10" i="7"/>
  <c r="F10" i="7"/>
  <c r="C10" i="7"/>
  <c r="S52" i="6"/>
  <c r="Q52" i="6"/>
  <c r="P52" i="6"/>
  <c r="L52" i="6"/>
  <c r="K52" i="6"/>
  <c r="G52" i="6"/>
  <c r="F52" i="6"/>
  <c r="C52" i="6"/>
  <c r="S51" i="6"/>
  <c r="Q51" i="6"/>
  <c r="P51" i="6"/>
  <c r="L51" i="6"/>
  <c r="K51" i="6"/>
  <c r="G51" i="6"/>
  <c r="F51" i="6"/>
  <c r="C51" i="6"/>
  <c r="S50" i="6"/>
  <c r="Q50" i="6"/>
  <c r="P50" i="6"/>
  <c r="L50" i="6"/>
  <c r="K50" i="6"/>
  <c r="G50" i="6"/>
  <c r="F50" i="6"/>
  <c r="C50" i="6"/>
  <c r="S49" i="6"/>
  <c r="Q49" i="6"/>
  <c r="P49" i="6"/>
  <c r="L49" i="6"/>
  <c r="K49" i="6"/>
  <c r="G49" i="6"/>
  <c r="F49" i="6"/>
  <c r="C49" i="6"/>
  <c r="S48" i="6"/>
  <c r="Q48" i="6"/>
  <c r="P48" i="6"/>
  <c r="L48" i="6"/>
  <c r="K48" i="6"/>
  <c r="G48" i="6"/>
  <c r="F48" i="6"/>
  <c r="C48" i="6"/>
  <c r="S47" i="6"/>
  <c r="Q47" i="6"/>
  <c r="P47" i="6"/>
  <c r="L47" i="6"/>
  <c r="K47" i="6"/>
  <c r="G47" i="6"/>
  <c r="F47" i="6"/>
  <c r="C47" i="6"/>
  <c r="S46" i="6"/>
  <c r="P46" i="6"/>
  <c r="L46" i="6"/>
  <c r="K46" i="6"/>
  <c r="G46" i="6"/>
  <c r="F46" i="6"/>
  <c r="C46" i="6"/>
  <c r="S45" i="6"/>
  <c r="P45" i="6"/>
  <c r="L45" i="6"/>
  <c r="K45" i="6"/>
  <c r="G45" i="6"/>
  <c r="F45" i="6"/>
  <c r="C45" i="6"/>
  <c r="S44" i="6"/>
  <c r="P44" i="6"/>
  <c r="L44" i="6"/>
  <c r="K44" i="6"/>
  <c r="G44" i="6"/>
  <c r="F44" i="6"/>
  <c r="C44" i="6"/>
  <c r="S43" i="6"/>
  <c r="P43" i="6"/>
  <c r="L43" i="6"/>
  <c r="K43" i="6"/>
  <c r="G43" i="6"/>
  <c r="F43" i="6"/>
  <c r="C43" i="6"/>
  <c r="L12" i="5"/>
  <c r="K12" i="5"/>
  <c r="G12" i="5"/>
  <c r="F12" i="5"/>
  <c r="C12" i="5"/>
  <c r="G11" i="5"/>
  <c r="F11" i="5"/>
  <c r="C11" i="5"/>
  <c r="G10" i="5"/>
  <c r="F10" i="5"/>
  <c r="C10" i="5"/>
  <c r="S52" i="4" l="1"/>
  <c r="Q52" i="4"/>
  <c r="P52" i="4"/>
  <c r="L52" i="4"/>
  <c r="K52" i="4"/>
  <c r="G52" i="4"/>
  <c r="F52" i="4"/>
  <c r="C52" i="4"/>
  <c r="S51" i="4"/>
  <c r="Q51" i="4"/>
  <c r="P51" i="4"/>
  <c r="L51" i="4"/>
  <c r="K51" i="4"/>
  <c r="G51" i="4"/>
  <c r="F51" i="4"/>
  <c r="C51" i="4"/>
  <c r="S50" i="4"/>
  <c r="Q50" i="4"/>
  <c r="P50" i="4"/>
  <c r="L50" i="4"/>
  <c r="K50" i="4"/>
  <c r="G50" i="4"/>
  <c r="F50" i="4"/>
  <c r="C50" i="4"/>
  <c r="S49" i="4"/>
  <c r="Q49" i="4"/>
  <c r="P49" i="4"/>
  <c r="L49" i="4"/>
  <c r="K49" i="4"/>
  <c r="G49" i="4"/>
  <c r="F49" i="4"/>
  <c r="C49" i="4"/>
  <c r="S48" i="4"/>
  <c r="Q48" i="4"/>
  <c r="P48" i="4"/>
  <c r="L48" i="4"/>
  <c r="K48" i="4"/>
  <c r="G48" i="4"/>
  <c r="F48" i="4"/>
  <c r="C48" i="4"/>
  <c r="S47" i="4"/>
  <c r="Q47" i="4"/>
  <c r="P47" i="4"/>
  <c r="L47" i="4"/>
  <c r="K47" i="4"/>
  <c r="G47" i="4"/>
  <c r="F47" i="4"/>
  <c r="C47" i="4"/>
  <c r="S46" i="4"/>
  <c r="P46" i="4"/>
  <c r="L46" i="4"/>
  <c r="K46" i="4"/>
  <c r="G46" i="4"/>
  <c r="F46" i="4"/>
  <c r="C46" i="4"/>
  <c r="S45" i="4"/>
  <c r="P45" i="4"/>
  <c r="L45" i="4"/>
  <c r="K45" i="4"/>
  <c r="G45" i="4"/>
  <c r="F45" i="4"/>
  <c r="C45" i="4"/>
  <c r="S44" i="4"/>
  <c r="P44" i="4"/>
  <c r="L44" i="4"/>
  <c r="K44" i="4"/>
  <c r="G44" i="4"/>
  <c r="F44" i="4"/>
  <c r="C44" i="4"/>
  <c r="S43" i="4"/>
  <c r="P43" i="4"/>
  <c r="L43" i="4"/>
  <c r="K43" i="4"/>
  <c r="G43" i="4"/>
  <c r="F43" i="4"/>
  <c r="C43" i="4"/>
</calcChain>
</file>

<file path=xl/sharedStrings.xml><?xml version="1.0" encoding="utf-8"?>
<sst xmlns="http://schemas.openxmlformats.org/spreadsheetml/2006/main" count="478" uniqueCount="35">
  <si>
    <t>Fecha vigencia</t>
  </si>
  <si>
    <t>Residencial R</t>
  </si>
  <si>
    <t>Servicio General P (1)</t>
  </si>
  <si>
    <t>Cargo Fijo (2)</t>
  </si>
  <si>
    <t>Cargo por m3</t>
  </si>
  <si>
    <t>Cargo por conexión</t>
  </si>
  <si>
    <t>Cargo Fijo</t>
  </si>
  <si>
    <t>Cargo por m3/día  (3)</t>
  </si>
  <si>
    <t>Cargo fijo</t>
  </si>
  <si>
    <t>(1) Los usuarios tienen derecho a elegir el servicio y régimen tarifario aplicable siempre que contraten los siguientes mínimos:</t>
  </si>
  <si>
    <t>G: 500 metros cúbicos por día.</t>
  </si>
  <si>
    <t>FD-FT: 5000 metros cúbicos por día.</t>
  </si>
  <si>
    <t>(2) El cargo fijo en la tarifa residencial es bimestral.</t>
  </si>
  <si>
    <t>(3) Cargo mensual por cada metro cúbico diario de capacidad reservada</t>
  </si>
  <si>
    <t>Servicio General G (1) (*)</t>
  </si>
  <si>
    <t>-</t>
  </si>
  <si>
    <t>Tarifas Conecta Sur</t>
  </si>
  <si>
    <t>(Tarifas máximas en dólares sin impuestos)</t>
  </si>
  <si>
    <t>Tarifas Conecta Norte</t>
  </si>
  <si>
    <t xml:space="preserve">  Cargo por              m3            0 a 1000 m3</t>
  </si>
  <si>
    <t xml:space="preserve"> Cargo por             m3             más de 1000 m3</t>
  </si>
  <si>
    <t xml:space="preserve">  Cargo por              m3           0 a 5000 m3</t>
  </si>
  <si>
    <t xml:space="preserve">  Cargo por              m3         más de 5000 m3</t>
  </si>
  <si>
    <t>Cargo por               m3                   0 a 5000 m3</t>
  </si>
  <si>
    <t xml:space="preserve"> Cargo por              m3                    más de 5000 m3</t>
  </si>
  <si>
    <t>Las tarifas FD y FT requieren cargo por reserve de capacidad más cargo por metro cúbico consumido</t>
  </si>
  <si>
    <t>(*) Siempre que haya disponibilidad de gas</t>
  </si>
  <si>
    <t>(**) Desde setiembre de 2017: suspendida transitoriamente en la medida que por disponibilidad de gas la distribuidora no pueda garantizar la prestación normal del servicio</t>
  </si>
  <si>
    <t>(4) Los ususrios conectados a las redes de distribución</t>
  </si>
  <si>
    <t>Grandes Usuarios FD (1) (4) (**)</t>
  </si>
  <si>
    <t>Grandes Usuarios FT (1) (5) (**)</t>
  </si>
  <si>
    <t>(5) Los usuarios conectados a los gasoductos troncales o de aproximación</t>
  </si>
  <si>
    <t xml:space="preserve">     G: 500 metros cúbicos por día.</t>
  </si>
  <si>
    <t xml:space="preserve">     FD-FT: 5000 metros cúbicos por día.</t>
  </si>
  <si>
    <t xml:space="preserve">     Las tarifas FD y FT requieren cargo por reserve de capacidad más cargo por metro cúbico consumido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</si>
</sst>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\ _€_-;\-* #,##0.00\ _€_-;_-* &quot;-&quot;??\ _€_-;_-@_-"/>
    <numFmt numFmtId="165" formatCode="0\ %"/>
    <numFmt numFmtId="166" formatCode="0.000"/>
    <numFmt numFmtId="167" formatCode="dd/mm/yyyy;@"/>
    <numFmt numFmtId="168" formatCode="#,##0.000_ ;\-#,##0.000\ "/>
  </numFmts>
  <fonts count="14" x14ac:knownFonts="1">
    <font>
      <sz val="11"/>
      <color rgb="FF000000"/>
      <name val="Calibri"/>
      <family val="2"/>
      <charset val="1"/>
    </font>
    <font>
      <b/>
      <u/>
      <sz val="12"/>
      <name val="Book Antiqua"/>
      <family val="1"/>
      <charset val="1"/>
    </font>
    <font>
      <sz val="10"/>
      <name val="Arial"/>
      <family val="2"/>
      <charset val="1"/>
    </font>
    <font>
      <sz val="12"/>
      <name val="Book Antiqua"/>
      <family val="1"/>
      <charset val="1"/>
    </font>
    <font>
      <b/>
      <sz val="12"/>
      <name val="Book Antiqua"/>
      <family val="1"/>
      <charset val="1"/>
    </font>
    <font>
      <sz val="12"/>
      <color rgb="FF000000"/>
      <name val="Calibri"/>
      <family val="2"/>
      <charset val="1"/>
    </font>
    <font>
      <sz val="11"/>
      <color rgb="FF000000"/>
      <name val="Calibri"/>
      <family val="2"/>
      <charset val="1"/>
    </font>
    <font>
      <b/>
      <sz val="18"/>
      <color indexed="21"/>
      <name val="Arial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sz val="8"/>
      <color rgb="FF000000"/>
      <name val="Arial"/>
      <family val="2"/>
    </font>
    <font>
      <sz val="10"/>
      <color rgb="FF000000"/>
      <name val="Arial"/>
      <family val="2"/>
    </font>
    <font>
      <sz val="10"/>
      <color indexed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indexed="21"/>
        <bgColor indexed="38"/>
      </patternFill>
    </fill>
    <fill>
      <patternFill patternType="solid">
        <fgColor indexed="30"/>
        <bgColor indexed="21"/>
      </patternFill>
    </fill>
    <fill>
      <patternFill patternType="solid">
        <fgColor indexed="22"/>
        <bgColor indexed="31"/>
      </patternFill>
    </fill>
  </fills>
  <borders count="8">
    <border>
      <left/>
      <right/>
      <top/>
      <bottom/>
      <diagonal/>
    </border>
    <border>
      <left/>
      <right style="hair">
        <color indexed="22"/>
      </right>
      <top/>
      <bottom/>
      <diagonal/>
    </border>
    <border>
      <left style="hair">
        <color indexed="22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hair">
        <color indexed="22"/>
      </right>
      <top/>
      <bottom style="thin">
        <color auto="1"/>
      </bottom>
      <diagonal/>
    </border>
    <border>
      <left style="hair">
        <color indexed="22"/>
      </left>
      <right style="hair">
        <color indexed="22"/>
      </right>
      <top/>
      <bottom/>
      <diagonal/>
    </border>
    <border>
      <left style="hair">
        <color indexed="22"/>
      </left>
      <right style="hair">
        <color indexed="22"/>
      </right>
      <top/>
      <bottom style="hair">
        <color indexed="22"/>
      </bottom>
      <diagonal/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  <diagonal/>
    </border>
  </borders>
  <cellStyleXfs count="3">
    <xf numFmtId="0" fontId="0" fillId="0" borderId="0"/>
    <xf numFmtId="165" fontId="2" fillId="0" borderId="0" applyBorder="0" applyProtection="0"/>
    <xf numFmtId="164" fontId="6" fillId="0" borderId="0" applyFont="0" applyFill="0" applyBorder="0" applyAlignment="0" applyProtection="0"/>
  </cellStyleXfs>
  <cellXfs count="30">
    <xf numFmtId="0" fontId="0" fillId="0" borderId="0" xfId="0"/>
    <xf numFmtId="0" fontId="1" fillId="0" borderId="0" xfId="1" applyNumberFormat="1" applyFont="1" applyBorder="1" applyProtection="1"/>
    <xf numFmtId="0" fontId="3" fillId="0" borderId="0" xfId="1" applyNumberFormat="1" applyFont="1" applyBorder="1" applyProtection="1"/>
    <xf numFmtId="0" fontId="0" fillId="0" borderId="0" xfId="0" applyBorder="1"/>
    <xf numFmtId="166" fontId="4" fillId="0" borderId="0" xfId="1" applyNumberFormat="1" applyFont="1" applyBorder="1" applyAlignment="1" applyProtection="1">
      <alignment horizontal="center" vertical="center"/>
    </xf>
    <xf numFmtId="0" fontId="4" fillId="0" borderId="0" xfId="1" applyNumberFormat="1" applyFont="1" applyBorder="1" applyAlignment="1" applyProtection="1">
      <alignment horizontal="center" vertical="center"/>
    </xf>
    <xf numFmtId="0" fontId="0" fillId="2" borderId="0" xfId="0" applyFill="1"/>
    <xf numFmtId="0" fontId="5" fillId="0" borderId="0" xfId="0" applyFont="1"/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7" fillId="0" borderId="0" xfId="0" applyFont="1" applyAlignment="1"/>
    <xf numFmtId="0" fontId="8" fillId="0" borderId="0" xfId="0" applyFont="1" applyAlignment="1"/>
    <xf numFmtId="167" fontId="10" fillId="0" borderId="6" xfId="0" applyNumberFormat="1" applyFont="1" applyBorder="1" applyAlignment="1">
      <alignment horizontal="center"/>
    </xf>
    <xf numFmtId="167" fontId="10" fillId="5" borderId="7" xfId="0" applyNumberFormat="1" applyFont="1" applyFill="1" applyBorder="1" applyAlignment="1">
      <alignment horizontal="center"/>
    </xf>
    <xf numFmtId="0" fontId="0" fillId="0" borderId="0" xfId="0"/>
    <xf numFmtId="168" fontId="12" fillId="0" borderId="6" xfId="2" applyNumberFormat="1" applyFont="1" applyBorder="1" applyAlignment="1">
      <alignment horizontal="center"/>
    </xf>
    <xf numFmtId="168" fontId="12" fillId="5" borderId="7" xfId="2" applyNumberFormat="1" applyFont="1" applyFill="1" applyBorder="1" applyAlignment="1">
      <alignment horizontal="center"/>
    </xf>
    <xf numFmtId="0" fontId="13" fillId="4" borderId="5" xfId="0" applyFont="1" applyFill="1" applyBorder="1" applyAlignment="1">
      <alignment horizontal="center" vertical="center" wrapText="1" readingOrder="1"/>
    </xf>
    <xf numFmtId="0" fontId="10" fillId="0" borderId="0" xfId="0" applyFont="1" applyAlignment="1"/>
    <xf numFmtId="0" fontId="4" fillId="0" borderId="0" xfId="1" applyNumberFormat="1" applyFont="1" applyBorder="1" applyAlignment="1" applyProtection="1">
      <alignment horizontal="center" vertical="center" wrapText="1"/>
    </xf>
    <xf numFmtId="0" fontId="11" fillId="0" borderId="0" xfId="0" applyFont="1"/>
    <xf numFmtId="167" fontId="10" fillId="5" borderId="0" xfId="0" applyNumberFormat="1" applyFont="1" applyFill="1" applyBorder="1" applyAlignment="1">
      <alignment horizontal="center"/>
    </xf>
    <xf numFmtId="168" fontId="12" fillId="5" borderId="0" xfId="2" applyNumberFormat="1" applyFont="1" applyFill="1" applyBorder="1" applyAlignment="1">
      <alignment horizontal="center"/>
    </xf>
    <xf numFmtId="167" fontId="10" fillId="0" borderId="0" xfId="0" applyNumberFormat="1" applyFont="1" applyBorder="1" applyAlignment="1">
      <alignment horizontal="center"/>
    </xf>
    <xf numFmtId="168" fontId="12" fillId="0" borderId="0" xfId="2" applyNumberFormat="1" applyFont="1" applyBorder="1" applyAlignment="1">
      <alignment horizontal="center"/>
    </xf>
    <xf numFmtId="0" fontId="9" fillId="3" borderId="2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4" fillId="0" borderId="0" xfId="1" applyNumberFormat="1" applyFont="1" applyBorder="1" applyAlignment="1" applyProtection="1">
      <alignment horizontal="center" vertical="center" wrapText="1"/>
    </xf>
  </cellXfs>
  <cellStyles count="3">
    <cellStyle name="Millares" xfId="2" builtinId="3"/>
    <cellStyle name="Normal" xfId="0" builtinId="0"/>
    <cellStyle name="Texto explicativo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250075</xdr:colOff>
      <xdr:row>0</xdr:row>
      <xdr:rowOff>0</xdr:rowOff>
    </xdr:from>
    <xdr:to>
      <xdr:col>0</xdr:col>
      <xdr:colOff>745098</xdr:colOff>
      <xdr:row>2</xdr:row>
      <xdr:rowOff>9923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0075" y="0"/>
          <a:ext cx="495023" cy="5052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250075</xdr:colOff>
      <xdr:row>0</xdr:row>
      <xdr:rowOff>0</xdr:rowOff>
    </xdr:from>
    <xdr:to>
      <xdr:col>0</xdr:col>
      <xdr:colOff>745098</xdr:colOff>
      <xdr:row>2</xdr:row>
      <xdr:rowOff>9923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0075" y="0"/>
          <a:ext cx="495023" cy="5052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250075</xdr:colOff>
      <xdr:row>0</xdr:row>
      <xdr:rowOff>0</xdr:rowOff>
    </xdr:from>
    <xdr:ext cx="495023" cy="509986"/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0075" y="13706475"/>
          <a:ext cx="495023" cy="5099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250075</xdr:colOff>
      <xdr:row>0</xdr:row>
      <xdr:rowOff>0</xdr:rowOff>
    </xdr:from>
    <xdr:to>
      <xdr:col>0</xdr:col>
      <xdr:colOff>745098</xdr:colOff>
      <xdr:row>2</xdr:row>
      <xdr:rowOff>9923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0075" y="0"/>
          <a:ext cx="495023" cy="5052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226214</xdr:colOff>
      <xdr:row>0</xdr:row>
      <xdr:rowOff>11906</xdr:rowOff>
    </xdr:from>
    <xdr:to>
      <xdr:col>0</xdr:col>
      <xdr:colOff>721237</xdr:colOff>
      <xdr:row>2</xdr:row>
      <xdr:rowOff>21828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214" y="13813631"/>
          <a:ext cx="495023" cy="50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250075</xdr:colOff>
      <xdr:row>0</xdr:row>
      <xdr:rowOff>0</xdr:rowOff>
    </xdr:from>
    <xdr:ext cx="495023" cy="509986"/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0075" y="0"/>
          <a:ext cx="495023" cy="5099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250075</xdr:colOff>
      <xdr:row>0</xdr:row>
      <xdr:rowOff>0</xdr:rowOff>
    </xdr:from>
    <xdr:to>
      <xdr:col>0</xdr:col>
      <xdr:colOff>745098</xdr:colOff>
      <xdr:row>2</xdr:row>
      <xdr:rowOff>9923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0075" y="0"/>
          <a:ext cx="495023" cy="5052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226214</xdr:colOff>
      <xdr:row>0</xdr:row>
      <xdr:rowOff>0</xdr:rowOff>
    </xdr:from>
    <xdr:to>
      <xdr:col>0</xdr:col>
      <xdr:colOff>721237</xdr:colOff>
      <xdr:row>2</xdr:row>
      <xdr:rowOff>9922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214" y="11906"/>
          <a:ext cx="495023" cy="50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250075</xdr:colOff>
      <xdr:row>0</xdr:row>
      <xdr:rowOff>0</xdr:rowOff>
    </xdr:from>
    <xdr:ext cx="495023" cy="509986"/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0075" y="0"/>
          <a:ext cx="495023" cy="5099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250026</xdr:colOff>
      <xdr:row>0</xdr:row>
      <xdr:rowOff>0</xdr:rowOff>
    </xdr:from>
    <xdr:ext cx="495023" cy="509986"/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0026" y="0"/>
          <a:ext cx="495023" cy="5099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65"/>
  <sheetViews>
    <sheetView tabSelected="1" topLeftCell="A46" zoomScale="80" zoomScaleNormal="80" workbookViewId="0">
      <selection activeCell="A61" sqref="A61"/>
    </sheetView>
  </sheetViews>
  <sheetFormatPr baseColWidth="10" defaultColWidth="9.140625" defaultRowHeight="15" x14ac:dyDescent="0.25"/>
  <cols>
    <col min="1" max="1" width="14.5703125" style="14" customWidth="1"/>
    <col min="2" max="1024" width="10.7109375" style="14" customWidth="1"/>
    <col min="1025" max="16384" width="9.140625" style="14"/>
  </cols>
  <sheetData>
    <row r="1" spans="1:19" ht="23.25" x14ac:dyDescent="0.35">
      <c r="B1" s="10" t="s">
        <v>16</v>
      </c>
      <c r="C1" s="10"/>
      <c r="D1" s="10"/>
      <c r="E1" s="8"/>
      <c r="G1" s="2"/>
      <c r="H1" s="2"/>
      <c r="I1" s="2"/>
      <c r="O1" s="2"/>
      <c r="P1" s="2"/>
      <c r="Q1" s="2"/>
      <c r="R1" s="2"/>
      <c r="S1" s="2"/>
    </row>
    <row r="2" spans="1:19" ht="15.75" x14ac:dyDescent="0.25">
      <c r="B2" s="18" t="s">
        <v>17</v>
      </c>
      <c r="C2" s="11"/>
      <c r="D2" s="11"/>
      <c r="E2" s="9"/>
      <c r="G2" s="2"/>
      <c r="H2" s="2"/>
      <c r="I2" s="2"/>
      <c r="O2" s="2"/>
      <c r="P2" s="2"/>
      <c r="Q2" s="2"/>
      <c r="R2" s="2"/>
      <c r="S2" s="2"/>
    </row>
    <row r="3" spans="1:19" ht="15.75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20.25" customHeight="1" x14ac:dyDescent="0.25">
      <c r="A4" s="28" t="s">
        <v>0</v>
      </c>
      <c r="B4" s="25" t="s">
        <v>1</v>
      </c>
      <c r="C4" s="26"/>
      <c r="D4" s="27"/>
      <c r="E4" s="25" t="s">
        <v>2</v>
      </c>
      <c r="F4" s="26"/>
      <c r="G4" s="26"/>
      <c r="H4" s="27"/>
      <c r="I4" s="25" t="s">
        <v>14</v>
      </c>
      <c r="J4" s="26"/>
      <c r="K4" s="26"/>
      <c r="L4" s="26"/>
      <c r="M4" s="27"/>
      <c r="N4" s="25" t="s">
        <v>29</v>
      </c>
      <c r="O4" s="26"/>
      <c r="P4" s="27"/>
      <c r="Q4" s="25" t="s">
        <v>30</v>
      </c>
      <c r="R4" s="26"/>
      <c r="S4" s="27"/>
    </row>
    <row r="5" spans="1:19" ht="51" x14ac:dyDescent="0.25">
      <c r="A5" s="28"/>
      <c r="B5" s="17" t="s">
        <v>3</v>
      </c>
      <c r="C5" s="17" t="s">
        <v>4</v>
      </c>
      <c r="D5" s="17" t="s">
        <v>5</v>
      </c>
      <c r="E5" s="17" t="s">
        <v>6</v>
      </c>
      <c r="F5" s="17" t="s">
        <v>19</v>
      </c>
      <c r="G5" s="17" t="s">
        <v>20</v>
      </c>
      <c r="H5" s="17" t="s">
        <v>5</v>
      </c>
      <c r="I5" s="17" t="s">
        <v>6</v>
      </c>
      <c r="J5" s="17" t="s">
        <v>7</v>
      </c>
      <c r="K5" s="17" t="s">
        <v>23</v>
      </c>
      <c r="L5" s="17" t="s">
        <v>24</v>
      </c>
      <c r="M5" s="17" t="s">
        <v>5</v>
      </c>
      <c r="N5" s="17" t="s">
        <v>8</v>
      </c>
      <c r="O5" s="17" t="s">
        <v>7</v>
      </c>
      <c r="P5" s="17" t="s">
        <v>4</v>
      </c>
      <c r="Q5" s="17" t="s">
        <v>8</v>
      </c>
      <c r="R5" s="17" t="s">
        <v>7</v>
      </c>
      <c r="S5" s="17" t="s">
        <v>4</v>
      </c>
    </row>
    <row r="6" spans="1:19" x14ac:dyDescent="0.25">
      <c r="A6" s="12">
        <v>39448</v>
      </c>
      <c r="B6" s="15">
        <v>11.14</v>
      </c>
      <c r="C6" s="15">
        <v>0.56899999999999995</v>
      </c>
      <c r="D6" s="15">
        <v>120</v>
      </c>
      <c r="E6" s="15">
        <v>20.97</v>
      </c>
      <c r="F6" s="15">
        <v>0.65500000000000003</v>
      </c>
      <c r="G6" s="15">
        <v>0.53700000000000003</v>
      </c>
      <c r="H6" s="15">
        <v>350</v>
      </c>
      <c r="I6" s="15">
        <v>65.540000000000006</v>
      </c>
      <c r="J6" s="15">
        <v>1.5129999999999999</v>
      </c>
      <c r="K6" s="15">
        <v>0.23499999999999999</v>
      </c>
      <c r="L6" s="15">
        <v>0.22700000000000001</v>
      </c>
      <c r="M6" s="15">
        <v>1000</v>
      </c>
      <c r="N6" s="15">
        <v>131.07</v>
      </c>
      <c r="O6" s="15">
        <v>1.3859999999999999</v>
      </c>
      <c r="P6" s="15">
        <v>0.19800000000000001</v>
      </c>
      <c r="Q6" s="15">
        <v>131.07</v>
      </c>
      <c r="R6" s="15">
        <v>1.32</v>
      </c>
      <c r="S6" s="15">
        <v>0.187</v>
      </c>
    </row>
    <row r="7" spans="1:19" x14ac:dyDescent="0.25">
      <c r="A7" s="13">
        <v>39569</v>
      </c>
      <c r="B7" s="16">
        <v>11.14</v>
      </c>
      <c r="C7" s="16">
        <v>0.72199999999999998</v>
      </c>
      <c r="D7" s="16">
        <v>120</v>
      </c>
      <c r="E7" s="16">
        <v>20.97</v>
      </c>
      <c r="F7" s="16">
        <v>0.80700000000000005</v>
      </c>
      <c r="G7" s="16">
        <v>0.69</v>
      </c>
      <c r="H7" s="16">
        <v>350</v>
      </c>
      <c r="I7" s="16">
        <v>65.540000000000006</v>
      </c>
      <c r="J7" s="16">
        <v>1.518</v>
      </c>
      <c r="K7" s="16">
        <v>0.38800000000000001</v>
      </c>
      <c r="L7" s="16">
        <v>0.38</v>
      </c>
      <c r="M7" s="16">
        <v>1000</v>
      </c>
      <c r="N7" s="16">
        <v>131.07</v>
      </c>
      <c r="O7" s="16">
        <v>1.3859999999999999</v>
      </c>
      <c r="P7" s="16">
        <v>0.36399999999999999</v>
      </c>
      <c r="Q7" s="16">
        <v>131.07</v>
      </c>
      <c r="R7" s="16">
        <v>1.32</v>
      </c>
      <c r="S7" s="16">
        <v>0.35299999999999998</v>
      </c>
    </row>
    <row r="8" spans="1:19" x14ac:dyDescent="0.25">
      <c r="A8" s="12">
        <v>39630</v>
      </c>
      <c r="B8" s="15">
        <v>11.89</v>
      </c>
      <c r="C8" s="15">
        <v>0.80300000000000005</v>
      </c>
      <c r="D8" s="15">
        <v>120</v>
      </c>
      <c r="E8" s="15">
        <v>22.4</v>
      </c>
      <c r="F8" s="15">
        <v>0.90600000000000003</v>
      </c>
      <c r="G8" s="15">
        <v>0.78</v>
      </c>
      <c r="H8" s="15">
        <v>350</v>
      </c>
      <c r="I8" s="15">
        <v>69.989999999999995</v>
      </c>
      <c r="J8" s="15">
        <v>1.631</v>
      </c>
      <c r="K8" s="15">
        <v>0.42</v>
      </c>
      <c r="L8" s="15">
        <v>0.41199999999999998</v>
      </c>
      <c r="M8" s="15">
        <v>1000</v>
      </c>
      <c r="N8" s="15">
        <v>139.97</v>
      </c>
      <c r="O8" s="15">
        <v>1.4910000000000001</v>
      </c>
      <c r="P8" s="15">
        <v>0.39500000000000002</v>
      </c>
      <c r="Q8" s="15">
        <v>139.97</v>
      </c>
      <c r="R8" s="15">
        <v>1.42</v>
      </c>
      <c r="S8" s="15">
        <v>0.38300000000000001</v>
      </c>
    </row>
    <row r="9" spans="1:19" x14ac:dyDescent="0.25">
      <c r="A9" s="13">
        <v>39661</v>
      </c>
      <c r="B9" s="16">
        <v>11.89</v>
      </c>
      <c r="C9" s="16">
        <v>1.165</v>
      </c>
      <c r="D9" s="16">
        <v>120</v>
      </c>
      <c r="E9" s="16">
        <v>22.4</v>
      </c>
      <c r="F9" s="16">
        <v>1.268</v>
      </c>
      <c r="G9" s="16">
        <v>1.1419999999999999</v>
      </c>
      <c r="H9" s="16">
        <v>350</v>
      </c>
      <c r="I9" s="16">
        <v>69.989999999999995</v>
      </c>
      <c r="J9" s="16">
        <v>1.631</v>
      </c>
      <c r="K9" s="16">
        <v>0.78100000000000003</v>
      </c>
      <c r="L9" s="16">
        <v>0.77300000000000002</v>
      </c>
      <c r="M9" s="16">
        <v>1000</v>
      </c>
      <c r="N9" s="16">
        <v>139.97</v>
      </c>
      <c r="O9" s="16">
        <v>1.4910000000000001</v>
      </c>
      <c r="P9" s="16">
        <v>0.75600000000000001</v>
      </c>
      <c r="Q9" s="16">
        <v>139.97</v>
      </c>
      <c r="R9" s="16">
        <v>1.42</v>
      </c>
      <c r="S9" s="16">
        <v>0.74399999999999999</v>
      </c>
    </row>
    <row r="10" spans="1:19" x14ac:dyDescent="0.25">
      <c r="A10" s="12">
        <v>39722</v>
      </c>
      <c r="B10" s="15">
        <v>11.89</v>
      </c>
      <c r="C10" s="15">
        <v>1.1779999999999999</v>
      </c>
      <c r="D10" s="15">
        <v>120</v>
      </c>
      <c r="E10" s="15">
        <v>22.4</v>
      </c>
      <c r="F10" s="15">
        <v>1.2809999999999999</v>
      </c>
      <c r="G10" s="15">
        <v>1.155</v>
      </c>
      <c r="H10" s="15">
        <v>350</v>
      </c>
      <c r="I10" s="15">
        <v>69.989999999999995</v>
      </c>
      <c r="J10" s="15">
        <v>1.631</v>
      </c>
      <c r="K10" s="15">
        <v>0.79400000000000004</v>
      </c>
      <c r="L10" s="15">
        <v>0.78600000000000003</v>
      </c>
      <c r="M10" s="15">
        <v>1000</v>
      </c>
      <c r="N10" s="15"/>
      <c r="O10" s="15"/>
      <c r="P10" s="15"/>
      <c r="Q10" s="15"/>
      <c r="R10" s="15"/>
      <c r="S10" s="15"/>
    </row>
    <row r="11" spans="1:19" x14ac:dyDescent="0.25">
      <c r="A11" s="13">
        <v>39783</v>
      </c>
      <c r="B11" s="16">
        <v>11.89</v>
      </c>
      <c r="C11" s="16">
        <v>0.90200000000000002</v>
      </c>
      <c r="D11" s="16">
        <v>120</v>
      </c>
      <c r="E11" s="16">
        <v>22.4</v>
      </c>
      <c r="F11" s="16">
        <v>1.0049999999999999</v>
      </c>
      <c r="G11" s="16">
        <v>0.879</v>
      </c>
      <c r="H11" s="16">
        <v>350</v>
      </c>
      <c r="I11" s="16">
        <v>69.989999999999995</v>
      </c>
      <c r="J11" s="16">
        <v>1.631</v>
      </c>
      <c r="K11" s="16">
        <v>0.51800000000000002</v>
      </c>
      <c r="L11" s="16">
        <v>0.51</v>
      </c>
      <c r="M11" s="16">
        <v>1000</v>
      </c>
      <c r="N11" s="16">
        <v>139.97</v>
      </c>
      <c r="O11" s="16">
        <v>1.4910000000000001</v>
      </c>
      <c r="P11" s="16">
        <v>0.49199999999999999</v>
      </c>
      <c r="Q11" s="16">
        <v>139.97</v>
      </c>
      <c r="R11" s="16">
        <v>1.42</v>
      </c>
      <c r="S11" s="16">
        <v>0.48099999999999998</v>
      </c>
    </row>
    <row r="12" spans="1:19" x14ac:dyDescent="0.25">
      <c r="A12" s="12">
        <v>39814</v>
      </c>
      <c r="B12" s="15">
        <v>11.24</v>
      </c>
      <c r="C12" s="15">
        <v>0.85699999999999998</v>
      </c>
      <c r="D12" s="15">
        <v>120</v>
      </c>
      <c r="E12" s="15">
        <v>21.17</v>
      </c>
      <c r="F12" s="15">
        <v>0.94299999999999995</v>
      </c>
      <c r="G12" s="15">
        <v>0.82399999999999995</v>
      </c>
      <c r="H12" s="15">
        <v>350</v>
      </c>
      <c r="I12" s="15">
        <v>66.16</v>
      </c>
      <c r="J12" s="15">
        <v>1.5840000000000001</v>
      </c>
      <c r="K12" s="15">
        <v>0.51400000000000001</v>
      </c>
      <c r="L12" s="15">
        <v>0.50600000000000001</v>
      </c>
      <c r="M12" s="15">
        <v>1000</v>
      </c>
      <c r="N12" s="15">
        <v>132.32</v>
      </c>
      <c r="O12" s="15">
        <v>1.452</v>
      </c>
      <c r="P12" s="15">
        <v>0.49</v>
      </c>
      <c r="Q12" s="15">
        <v>132.32</v>
      </c>
      <c r="R12" s="15">
        <v>1.385</v>
      </c>
      <c r="S12" s="15">
        <v>0.47899999999999998</v>
      </c>
    </row>
    <row r="13" spans="1:19" x14ac:dyDescent="0.25">
      <c r="A13" s="13">
        <v>39873</v>
      </c>
      <c r="B13" s="16">
        <v>11.24</v>
      </c>
      <c r="C13" s="16">
        <v>0.76100000000000001</v>
      </c>
      <c r="D13" s="16">
        <v>120</v>
      </c>
      <c r="E13" s="16">
        <v>21.17</v>
      </c>
      <c r="F13" s="16">
        <v>0.84699999999999998</v>
      </c>
      <c r="G13" s="16">
        <v>0.72799999999999998</v>
      </c>
      <c r="H13" s="16">
        <v>350</v>
      </c>
      <c r="I13" s="16">
        <v>66.16</v>
      </c>
      <c r="J13" s="16">
        <v>1.5840000000000001</v>
      </c>
      <c r="K13" s="16">
        <v>0.41799999999999998</v>
      </c>
      <c r="L13" s="16">
        <v>0.41</v>
      </c>
      <c r="M13" s="16">
        <v>1000</v>
      </c>
      <c r="N13" s="16">
        <v>132.32</v>
      </c>
      <c r="O13" s="16">
        <v>1.452</v>
      </c>
      <c r="P13" s="16">
        <v>0.39400000000000002</v>
      </c>
      <c r="Q13" s="16">
        <v>132.32</v>
      </c>
      <c r="R13" s="16">
        <v>1.385</v>
      </c>
      <c r="S13" s="16">
        <v>0.38300000000000001</v>
      </c>
    </row>
    <row r="14" spans="1:19" x14ac:dyDescent="0.25">
      <c r="A14" s="12">
        <v>39934</v>
      </c>
      <c r="B14" s="15">
        <v>11.24</v>
      </c>
      <c r="C14" s="15">
        <v>0.63900000000000001</v>
      </c>
      <c r="D14" s="15">
        <v>120</v>
      </c>
      <c r="E14" s="15">
        <v>21.17</v>
      </c>
      <c r="F14" s="15">
        <v>0.72499999999999998</v>
      </c>
      <c r="G14" s="15">
        <v>0.60599999999999998</v>
      </c>
      <c r="H14" s="15">
        <v>350</v>
      </c>
      <c r="I14" s="15">
        <v>66.16</v>
      </c>
      <c r="J14" s="15">
        <v>1.5840000000000001</v>
      </c>
      <c r="K14" s="15">
        <v>0.29699999999999999</v>
      </c>
      <c r="L14" s="15">
        <v>0.28899999999999998</v>
      </c>
      <c r="M14" s="15">
        <v>1000</v>
      </c>
      <c r="N14" s="15">
        <v>132.32</v>
      </c>
      <c r="O14" s="15">
        <v>1.452</v>
      </c>
      <c r="P14" s="15">
        <v>0.27300000000000002</v>
      </c>
      <c r="Q14" s="15">
        <v>132.32</v>
      </c>
      <c r="R14" s="15">
        <v>1.385</v>
      </c>
      <c r="S14" s="15">
        <v>0.26100000000000001</v>
      </c>
    </row>
    <row r="15" spans="1:19" x14ac:dyDescent="0.25">
      <c r="A15" s="13">
        <v>39965</v>
      </c>
      <c r="B15" s="16">
        <v>11.24</v>
      </c>
      <c r="C15" s="16">
        <v>0.72799999999999998</v>
      </c>
      <c r="D15" s="16">
        <v>120</v>
      </c>
      <c r="E15" s="16">
        <v>21.17</v>
      </c>
      <c r="F15" s="16">
        <v>0.81399999999999995</v>
      </c>
      <c r="G15" s="16">
        <v>0.69499999999999995</v>
      </c>
      <c r="H15" s="16">
        <v>350</v>
      </c>
      <c r="I15" s="16">
        <v>66.16</v>
      </c>
      <c r="J15" s="16">
        <v>1.5840000000000001</v>
      </c>
      <c r="K15" s="16">
        <v>0.38600000000000001</v>
      </c>
      <c r="L15" s="16">
        <v>0.378</v>
      </c>
      <c r="M15" s="16">
        <v>1000</v>
      </c>
      <c r="N15" s="16">
        <v>132.32</v>
      </c>
      <c r="O15" s="16">
        <v>1.452</v>
      </c>
      <c r="P15" s="16">
        <v>0.36199999999999999</v>
      </c>
      <c r="Q15" s="16">
        <v>132.32</v>
      </c>
      <c r="R15" s="16">
        <v>1.385</v>
      </c>
      <c r="S15" s="16">
        <v>0.35</v>
      </c>
    </row>
    <row r="16" spans="1:19" x14ac:dyDescent="0.25">
      <c r="A16" s="12">
        <v>39995</v>
      </c>
      <c r="B16" s="15">
        <v>10.98</v>
      </c>
      <c r="C16" s="15">
        <v>0.76500000000000001</v>
      </c>
      <c r="D16" s="15">
        <v>120</v>
      </c>
      <c r="E16" s="15">
        <v>20.69</v>
      </c>
      <c r="F16" s="15">
        <v>0.84899999999999998</v>
      </c>
      <c r="G16" s="15">
        <v>0.73299999999999998</v>
      </c>
      <c r="H16" s="15">
        <v>350</v>
      </c>
      <c r="I16" s="15">
        <v>64.64</v>
      </c>
      <c r="J16" s="15">
        <v>1.478</v>
      </c>
      <c r="K16" s="15">
        <v>0.438</v>
      </c>
      <c r="L16" s="15">
        <v>0.43</v>
      </c>
      <c r="M16" s="15">
        <v>1000</v>
      </c>
      <c r="N16" s="15">
        <v>129.28</v>
      </c>
      <c r="O16" s="15">
        <v>1.3480000000000001</v>
      </c>
      <c r="P16" s="15">
        <v>0.41399999999999998</v>
      </c>
      <c r="Q16" s="15">
        <v>129.28</v>
      </c>
      <c r="R16" s="15">
        <v>1.2829999999999999</v>
      </c>
      <c r="S16" s="15">
        <v>0.40300000000000002</v>
      </c>
    </row>
    <row r="17" spans="1:19" x14ac:dyDescent="0.25">
      <c r="A17" s="13">
        <v>40026</v>
      </c>
      <c r="B17" s="16">
        <v>10.98</v>
      </c>
      <c r="C17" s="16">
        <v>0.75</v>
      </c>
      <c r="D17" s="16">
        <v>120</v>
      </c>
      <c r="E17" s="16">
        <v>20.69</v>
      </c>
      <c r="F17" s="16">
        <v>0.83399999999999996</v>
      </c>
      <c r="G17" s="16">
        <v>0.71799999999999997</v>
      </c>
      <c r="H17" s="16">
        <v>350</v>
      </c>
      <c r="I17" s="16">
        <v>64.64</v>
      </c>
      <c r="J17" s="16">
        <v>1.478</v>
      </c>
      <c r="K17" s="16">
        <v>0.42299999999999999</v>
      </c>
      <c r="L17" s="16">
        <v>0.41499999999999998</v>
      </c>
      <c r="M17" s="16">
        <v>1000</v>
      </c>
      <c r="N17" s="16">
        <v>129.28</v>
      </c>
      <c r="O17" s="16">
        <v>1.3480000000000001</v>
      </c>
      <c r="P17" s="16">
        <v>0.39900000000000002</v>
      </c>
      <c r="Q17" s="16">
        <v>129.28</v>
      </c>
      <c r="R17" s="16">
        <v>1.2829999999999999</v>
      </c>
      <c r="S17" s="16">
        <v>0.38800000000000001</v>
      </c>
    </row>
    <row r="18" spans="1:19" x14ac:dyDescent="0.25">
      <c r="A18" s="12">
        <v>40057</v>
      </c>
      <c r="B18" s="15">
        <v>10.98</v>
      </c>
      <c r="C18" s="15">
        <v>0.70899999999999996</v>
      </c>
      <c r="D18" s="15">
        <v>120</v>
      </c>
      <c r="E18" s="15">
        <v>20.69</v>
      </c>
      <c r="F18" s="15">
        <v>0.79300000000000004</v>
      </c>
      <c r="G18" s="15">
        <v>0.67700000000000005</v>
      </c>
      <c r="H18" s="15">
        <v>350</v>
      </c>
      <c r="I18" s="15">
        <v>64.64</v>
      </c>
      <c r="J18" s="15">
        <v>1.478</v>
      </c>
      <c r="K18" s="15">
        <v>0.38200000000000001</v>
      </c>
      <c r="L18" s="15">
        <v>0.374</v>
      </c>
      <c r="M18" s="15">
        <v>1000</v>
      </c>
      <c r="N18" s="15">
        <v>129.28</v>
      </c>
      <c r="O18" s="15">
        <v>1.3480000000000001</v>
      </c>
      <c r="P18" s="15">
        <v>0.35799999999999998</v>
      </c>
      <c r="Q18" s="15">
        <v>129.28</v>
      </c>
      <c r="R18" s="15">
        <v>1.2829999999999999</v>
      </c>
      <c r="S18" s="15">
        <v>0.34699999999999998</v>
      </c>
    </row>
    <row r="19" spans="1:19" x14ac:dyDescent="0.25">
      <c r="A19" s="13">
        <v>40087</v>
      </c>
      <c r="B19" s="16">
        <v>10.98</v>
      </c>
      <c r="C19" s="16">
        <v>0.73499999999999999</v>
      </c>
      <c r="D19" s="16">
        <v>120</v>
      </c>
      <c r="E19" s="16">
        <v>20.69</v>
      </c>
      <c r="F19" s="16">
        <v>0.81899999999999995</v>
      </c>
      <c r="G19" s="16">
        <v>0.70299999999999996</v>
      </c>
      <c r="H19" s="16">
        <v>350</v>
      </c>
      <c r="I19" s="16">
        <v>64.64</v>
      </c>
      <c r="J19" s="16">
        <v>1.478</v>
      </c>
      <c r="K19" s="16">
        <v>0.40799999999999997</v>
      </c>
      <c r="L19" s="16">
        <v>0.4</v>
      </c>
      <c r="M19" s="16">
        <v>1000</v>
      </c>
      <c r="N19" s="16">
        <v>129.28</v>
      </c>
      <c r="O19" s="16">
        <v>1.3480000000000001</v>
      </c>
      <c r="P19" s="16">
        <v>0.38400000000000001</v>
      </c>
      <c r="Q19" s="16">
        <v>129.28</v>
      </c>
      <c r="R19" s="16">
        <v>1.2829999999999999</v>
      </c>
      <c r="S19" s="16">
        <v>0.373</v>
      </c>
    </row>
    <row r="20" spans="1:19" x14ac:dyDescent="0.25">
      <c r="A20" s="12">
        <v>40148</v>
      </c>
      <c r="B20" s="15">
        <v>10.98</v>
      </c>
      <c r="C20" s="15">
        <v>0.67900000000000005</v>
      </c>
      <c r="D20" s="15">
        <v>120</v>
      </c>
      <c r="E20" s="15">
        <v>20.69</v>
      </c>
      <c r="F20" s="15">
        <v>0.76300000000000001</v>
      </c>
      <c r="G20" s="15">
        <v>0.64700000000000002</v>
      </c>
      <c r="H20" s="15">
        <v>350</v>
      </c>
      <c r="I20" s="15">
        <v>64.64</v>
      </c>
      <c r="J20" s="15">
        <v>1.478</v>
      </c>
      <c r="K20" s="15">
        <v>0.35199999999999998</v>
      </c>
      <c r="L20" s="15">
        <v>0.34399999999999997</v>
      </c>
      <c r="M20" s="15">
        <v>1000</v>
      </c>
      <c r="N20" s="15">
        <v>129.28</v>
      </c>
      <c r="O20" s="15">
        <v>1.3480000000000001</v>
      </c>
      <c r="P20" s="15">
        <v>0.32800000000000001</v>
      </c>
      <c r="Q20" s="15">
        <v>129.28</v>
      </c>
      <c r="R20" s="15">
        <v>1.2829999999999999</v>
      </c>
      <c r="S20" s="15">
        <v>0.317</v>
      </c>
    </row>
    <row r="21" spans="1:19" x14ac:dyDescent="0.25">
      <c r="A21" s="13">
        <v>40179</v>
      </c>
      <c r="B21" s="16">
        <v>11.32</v>
      </c>
      <c r="C21" s="16">
        <v>0.69199999999999995</v>
      </c>
      <c r="D21" s="16">
        <v>120</v>
      </c>
      <c r="E21" s="16">
        <v>21.32</v>
      </c>
      <c r="F21" s="16">
        <v>0.77900000000000003</v>
      </c>
      <c r="G21" s="16">
        <v>0.65900000000000003</v>
      </c>
      <c r="H21" s="16">
        <v>350</v>
      </c>
      <c r="I21" s="16">
        <v>66.63</v>
      </c>
      <c r="J21" s="16">
        <v>1.5309999999999999</v>
      </c>
      <c r="K21" s="16">
        <v>0.35399999999999998</v>
      </c>
      <c r="L21" s="16">
        <v>0.34599999999999997</v>
      </c>
      <c r="M21" s="16">
        <v>1000</v>
      </c>
      <c r="N21" s="16">
        <v>133.26</v>
      </c>
      <c r="O21" s="16">
        <v>1.397</v>
      </c>
      <c r="P21" s="16">
        <v>0.32900000000000001</v>
      </c>
      <c r="Q21" s="16">
        <v>133.26</v>
      </c>
      <c r="R21" s="16">
        <v>1.33</v>
      </c>
      <c r="S21" s="16">
        <v>0.318</v>
      </c>
    </row>
    <row r="22" spans="1:19" x14ac:dyDescent="0.25">
      <c r="A22" s="12">
        <v>40299</v>
      </c>
      <c r="B22" s="15">
        <v>11.32</v>
      </c>
      <c r="C22" s="15">
        <v>0.72799999999999998</v>
      </c>
      <c r="D22" s="15">
        <v>120</v>
      </c>
      <c r="E22" s="15">
        <v>21.32</v>
      </c>
      <c r="F22" s="15">
        <v>0.81499999999999995</v>
      </c>
      <c r="G22" s="15">
        <v>0.69499999999999995</v>
      </c>
      <c r="H22" s="15">
        <v>350</v>
      </c>
      <c r="I22" s="15">
        <v>66.63</v>
      </c>
      <c r="J22" s="15">
        <v>1.5309999999999999</v>
      </c>
      <c r="K22" s="15">
        <v>0.39</v>
      </c>
      <c r="L22" s="15">
        <v>0.38200000000000001</v>
      </c>
      <c r="M22" s="15">
        <v>1000</v>
      </c>
      <c r="N22" s="15">
        <v>133.26</v>
      </c>
      <c r="O22" s="15">
        <v>1.397</v>
      </c>
      <c r="P22" s="15">
        <v>0.36499999999999999</v>
      </c>
      <c r="Q22" s="15">
        <v>133.26</v>
      </c>
      <c r="R22" s="15">
        <v>1.33</v>
      </c>
      <c r="S22" s="15">
        <v>0.35399999999999998</v>
      </c>
    </row>
    <row r="23" spans="1:19" x14ac:dyDescent="0.25">
      <c r="A23" s="13">
        <v>40360</v>
      </c>
      <c r="B23" s="16">
        <v>11.68</v>
      </c>
      <c r="C23" s="16">
        <v>0.75800000000000001</v>
      </c>
      <c r="D23" s="16">
        <v>120</v>
      </c>
      <c r="E23" s="16">
        <v>22</v>
      </c>
      <c r="F23" s="16">
        <v>0.84699999999999998</v>
      </c>
      <c r="G23" s="16">
        <v>0.72299999999999998</v>
      </c>
      <c r="H23" s="16">
        <v>350</v>
      </c>
      <c r="I23" s="16">
        <v>68.739999999999995</v>
      </c>
      <c r="J23" s="16">
        <v>1.589</v>
      </c>
      <c r="K23" s="16">
        <v>0.40799999999999997</v>
      </c>
      <c r="L23" s="16">
        <v>0.39900000000000002</v>
      </c>
      <c r="M23" s="16">
        <v>1000</v>
      </c>
      <c r="N23" s="16">
        <v>137.47</v>
      </c>
      <c r="O23" s="16">
        <v>1.4510000000000001</v>
      </c>
      <c r="P23" s="16">
        <v>0.38200000000000001</v>
      </c>
      <c r="Q23" s="16">
        <v>137.47</v>
      </c>
      <c r="R23" s="16">
        <v>1.3819999999999999</v>
      </c>
      <c r="S23" s="16">
        <v>0.371</v>
      </c>
    </row>
    <row r="24" spans="1:19" x14ac:dyDescent="0.25">
      <c r="A24" s="12">
        <v>40452</v>
      </c>
      <c r="B24" s="15">
        <v>11.68</v>
      </c>
      <c r="C24" s="15">
        <v>0.754</v>
      </c>
      <c r="D24" s="15">
        <v>120</v>
      </c>
      <c r="E24" s="15">
        <v>22</v>
      </c>
      <c r="F24" s="15">
        <v>0.84299999999999997</v>
      </c>
      <c r="G24" s="15">
        <v>0.72</v>
      </c>
      <c r="H24" s="15">
        <v>350</v>
      </c>
      <c r="I24" s="15">
        <v>68.739999999999995</v>
      </c>
      <c r="J24" s="15">
        <v>1.589</v>
      </c>
      <c r="K24" s="15">
        <v>0.40400000000000003</v>
      </c>
      <c r="L24" s="15">
        <v>0.39600000000000002</v>
      </c>
      <c r="M24" s="15">
        <v>1000</v>
      </c>
      <c r="N24" s="15">
        <v>137.47</v>
      </c>
      <c r="O24" s="15">
        <v>1.4510000000000001</v>
      </c>
      <c r="P24" s="15">
        <v>0.379</v>
      </c>
      <c r="Q24" s="15">
        <v>137.47</v>
      </c>
      <c r="R24" s="15">
        <v>1.3819999999999999</v>
      </c>
      <c r="S24" s="15">
        <v>0.36699999999999999</v>
      </c>
    </row>
    <row r="25" spans="1:19" x14ac:dyDescent="0.25">
      <c r="A25" s="13">
        <v>40513</v>
      </c>
      <c r="B25" s="16">
        <v>11.68</v>
      </c>
      <c r="C25" s="16">
        <v>0.76100000000000001</v>
      </c>
      <c r="D25" s="16">
        <v>120</v>
      </c>
      <c r="E25" s="16">
        <v>22</v>
      </c>
      <c r="F25" s="16">
        <v>0.85</v>
      </c>
      <c r="G25" s="16">
        <v>0.72699999999999998</v>
      </c>
      <c r="H25" s="16">
        <v>350</v>
      </c>
      <c r="I25" s="16">
        <v>68.739999999999995</v>
      </c>
      <c r="J25" s="16">
        <v>1.589</v>
      </c>
      <c r="K25" s="16">
        <v>0.41099999999999998</v>
      </c>
      <c r="L25" s="16">
        <v>0.40300000000000002</v>
      </c>
      <c r="M25" s="16">
        <v>1000</v>
      </c>
      <c r="N25" s="16">
        <v>137.47</v>
      </c>
      <c r="O25" s="16">
        <v>1.4510000000000001</v>
      </c>
      <c r="P25" s="16">
        <v>0.38600000000000001</v>
      </c>
      <c r="Q25" s="16">
        <v>137.47</v>
      </c>
      <c r="R25" s="16">
        <v>1.3819999999999999</v>
      </c>
      <c r="S25" s="16">
        <v>0.374</v>
      </c>
    </row>
    <row r="26" spans="1:19" x14ac:dyDescent="0.25">
      <c r="A26" s="12">
        <v>40544</v>
      </c>
      <c r="B26" s="15">
        <v>11.82</v>
      </c>
      <c r="C26" s="15">
        <v>0.76600000000000001</v>
      </c>
      <c r="D26" s="15">
        <v>120</v>
      </c>
      <c r="E26" s="15">
        <v>22.26</v>
      </c>
      <c r="F26" s="15">
        <v>0.85599999999999998</v>
      </c>
      <c r="G26" s="15">
        <v>0.73099999999999998</v>
      </c>
      <c r="H26" s="15">
        <v>350</v>
      </c>
      <c r="I26" s="15">
        <v>69.56</v>
      </c>
      <c r="J26" s="15">
        <v>1.603</v>
      </c>
      <c r="K26" s="15">
        <v>0.41199999999999998</v>
      </c>
      <c r="L26" s="15">
        <v>0.40400000000000003</v>
      </c>
      <c r="M26" s="15">
        <v>1000</v>
      </c>
      <c r="N26" s="15">
        <v>139.11000000000001</v>
      </c>
      <c r="O26" s="15">
        <v>1.464</v>
      </c>
      <c r="P26" s="15">
        <v>0.38600000000000001</v>
      </c>
      <c r="Q26" s="15">
        <v>139.11000000000001</v>
      </c>
      <c r="R26" s="15">
        <v>1.3939999999999999</v>
      </c>
      <c r="S26" s="15">
        <v>0.374</v>
      </c>
    </row>
    <row r="27" spans="1:19" x14ac:dyDescent="0.25">
      <c r="A27" s="13">
        <v>40634</v>
      </c>
      <c r="B27" s="16">
        <v>11.82</v>
      </c>
      <c r="C27" s="16">
        <v>0.84299999999999997</v>
      </c>
      <c r="D27" s="16">
        <v>120</v>
      </c>
      <c r="E27" s="16">
        <v>22.26</v>
      </c>
      <c r="F27" s="16">
        <v>0.93300000000000005</v>
      </c>
      <c r="G27" s="16">
        <v>0.80800000000000005</v>
      </c>
      <c r="H27" s="16">
        <v>350</v>
      </c>
      <c r="I27" s="16">
        <v>69.56</v>
      </c>
      <c r="J27" s="16">
        <v>1.603</v>
      </c>
      <c r="K27" s="16">
        <v>0.48899999999999999</v>
      </c>
      <c r="L27" s="16">
        <v>0.48099999999999998</v>
      </c>
      <c r="M27" s="16">
        <v>1000</v>
      </c>
      <c r="N27" s="16">
        <v>139.11000000000001</v>
      </c>
      <c r="O27" s="16">
        <v>1.464</v>
      </c>
      <c r="P27" s="16">
        <v>0.46300000000000002</v>
      </c>
      <c r="Q27" s="16">
        <v>139.11000000000001</v>
      </c>
      <c r="R27" s="16">
        <v>1.3939999999999999</v>
      </c>
      <c r="S27" s="16">
        <v>0.45100000000000001</v>
      </c>
    </row>
    <row r="28" spans="1:19" x14ac:dyDescent="0.25">
      <c r="A28" s="12">
        <v>40664</v>
      </c>
      <c r="B28" s="15">
        <v>11.82</v>
      </c>
      <c r="C28" s="15">
        <v>0.83799999999999997</v>
      </c>
      <c r="D28" s="15">
        <v>120</v>
      </c>
      <c r="E28" s="15">
        <v>22.26</v>
      </c>
      <c r="F28" s="15">
        <v>0.92800000000000005</v>
      </c>
      <c r="G28" s="15">
        <v>0.80300000000000005</v>
      </c>
      <c r="H28" s="15">
        <v>350</v>
      </c>
      <c r="I28" s="15">
        <v>69.56</v>
      </c>
      <c r="J28" s="15">
        <v>1.603</v>
      </c>
      <c r="K28" s="15">
        <v>0.48399999999999999</v>
      </c>
      <c r="L28" s="15">
        <v>0.47599999999999998</v>
      </c>
      <c r="M28" s="15">
        <v>1000</v>
      </c>
      <c r="N28" s="15">
        <v>139.11000000000001</v>
      </c>
      <c r="O28" s="15">
        <v>1.464</v>
      </c>
      <c r="P28" s="15">
        <v>0.45800000000000002</v>
      </c>
      <c r="Q28" s="15">
        <v>139.11000000000001</v>
      </c>
      <c r="R28" s="15">
        <v>1.3939999999999999</v>
      </c>
      <c r="S28" s="15">
        <v>0.44600000000000001</v>
      </c>
    </row>
    <row r="29" spans="1:19" x14ac:dyDescent="0.25">
      <c r="A29" s="13">
        <v>40725</v>
      </c>
      <c r="B29" s="16">
        <v>12.72</v>
      </c>
      <c r="C29" s="16">
        <v>0.85399999999999998</v>
      </c>
      <c r="D29" s="16">
        <v>120</v>
      </c>
      <c r="E29" s="16">
        <v>23.96</v>
      </c>
      <c r="F29" s="16">
        <v>0.95099999999999996</v>
      </c>
      <c r="G29" s="16">
        <v>0.81599999999999995</v>
      </c>
      <c r="H29" s="16">
        <v>350</v>
      </c>
      <c r="I29" s="16">
        <v>74.86</v>
      </c>
      <c r="J29" s="16">
        <v>1.7130000000000001</v>
      </c>
      <c r="K29" s="16">
        <v>0.47399999999999998</v>
      </c>
      <c r="L29" s="16">
        <v>0.46500000000000002</v>
      </c>
      <c r="M29" s="16">
        <v>1000</v>
      </c>
      <c r="N29" s="16">
        <v>149.72999999999999</v>
      </c>
      <c r="O29" s="16">
        <v>1.5629999999999999</v>
      </c>
      <c r="P29" s="16">
        <v>0.44700000000000001</v>
      </c>
      <c r="Q29" s="16">
        <v>149.72999999999999</v>
      </c>
      <c r="R29" s="16">
        <v>1.4870000000000001</v>
      </c>
      <c r="S29" s="16">
        <v>0.434</v>
      </c>
    </row>
    <row r="30" spans="1:19" x14ac:dyDescent="0.25">
      <c r="A30" s="12">
        <v>40817</v>
      </c>
      <c r="B30" s="15">
        <v>12.72</v>
      </c>
      <c r="C30" s="15">
        <v>1.014</v>
      </c>
      <c r="D30" s="15">
        <v>120</v>
      </c>
      <c r="E30" s="15">
        <v>23.96</v>
      </c>
      <c r="F30" s="15">
        <v>1.111</v>
      </c>
      <c r="G30" s="15">
        <v>0.97599999999999998</v>
      </c>
      <c r="H30" s="15">
        <v>350</v>
      </c>
      <c r="I30" s="15">
        <v>74.86</v>
      </c>
      <c r="J30" s="15">
        <v>1.7130000000000001</v>
      </c>
      <c r="K30" s="15">
        <v>0.63400000000000001</v>
      </c>
      <c r="L30" s="15">
        <v>0.625</v>
      </c>
      <c r="M30" s="15">
        <v>1000</v>
      </c>
      <c r="N30" s="15">
        <v>149.72999999999999</v>
      </c>
      <c r="O30" s="15">
        <v>1.5629999999999999</v>
      </c>
      <c r="P30" s="15">
        <v>0.60699999999999998</v>
      </c>
      <c r="Q30" s="15">
        <v>149.72999999999999</v>
      </c>
      <c r="R30" s="15">
        <v>1.4870000000000001</v>
      </c>
      <c r="S30" s="15">
        <v>0.59399999999999997</v>
      </c>
    </row>
    <row r="31" spans="1:19" x14ac:dyDescent="0.25">
      <c r="A31" s="13">
        <v>40909</v>
      </c>
      <c r="B31" s="16">
        <v>12.65</v>
      </c>
      <c r="C31" s="16">
        <v>1.135</v>
      </c>
      <c r="D31" s="16">
        <v>120</v>
      </c>
      <c r="E31" s="16">
        <v>23.82</v>
      </c>
      <c r="F31" s="16">
        <v>1.22</v>
      </c>
      <c r="G31" s="16">
        <v>1.0860000000000001</v>
      </c>
      <c r="H31" s="16">
        <v>350</v>
      </c>
      <c r="I31" s="16">
        <v>74.430000000000007</v>
      </c>
      <c r="J31" s="16">
        <v>1.9370000000000001</v>
      </c>
      <c r="K31" s="16">
        <v>0.64200000000000002</v>
      </c>
      <c r="L31" s="16">
        <v>0.63600000000000001</v>
      </c>
      <c r="M31" s="16">
        <v>1000</v>
      </c>
      <c r="N31" s="16">
        <v>148.87</v>
      </c>
      <c r="O31" s="16">
        <v>1.788</v>
      </c>
      <c r="P31" s="16">
        <v>0.61699999999999999</v>
      </c>
      <c r="Q31" s="16">
        <v>148.87</v>
      </c>
      <c r="R31" s="16">
        <v>1.7130000000000001</v>
      </c>
      <c r="S31" s="16">
        <v>0.60499999999999998</v>
      </c>
    </row>
    <row r="32" spans="1:19" x14ac:dyDescent="0.25">
      <c r="A32" s="12">
        <v>41030</v>
      </c>
      <c r="B32" s="15">
        <v>12.65</v>
      </c>
      <c r="C32" s="15">
        <v>1.0920000000000001</v>
      </c>
      <c r="D32" s="15">
        <v>120</v>
      </c>
      <c r="E32" s="15">
        <v>23.82</v>
      </c>
      <c r="F32" s="15">
        <v>1.177</v>
      </c>
      <c r="G32" s="15">
        <v>1.0429999999999999</v>
      </c>
      <c r="H32" s="15">
        <v>350</v>
      </c>
      <c r="I32" s="15">
        <v>74.430000000000007</v>
      </c>
      <c r="J32" s="15">
        <v>1.702</v>
      </c>
      <c r="K32" s="15">
        <v>0.629</v>
      </c>
      <c r="L32" s="15">
        <v>0.62</v>
      </c>
      <c r="M32" s="15">
        <v>1000</v>
      </c>
      <c r="N32" s="15">
        <v>148.87</v>
      </c>
      <c r="O32" s="15">
        <v>1.5529999999999999</v>
      </c>
      <c r="P32" s="15">
        <v>0.60099999999999998</v>
      </c>
      <c r="Q32" s="15">
        <v>148.87</v>
      </c>
      <c r="R32" s="15">
        <v>1.478</v>
      </c>
      <c r="S32" s="15">
        <v>0.58899999999999997</v>
      </c>
    </row>
    <row r="33" spans="1:24" x14ac:dyDescent="0.25">
      <c r="A33" s="13">
        <v>41091</v>
      </c>
      <c r="B33" s="16">
        <v>12.84</v>
      </c>
      <c r="C33" s="16">
        <v>1.141</v>
      </c>
      <c r="D33" s="16">
        <v>120</v>
      </c>
      <c r="E33" s="16">
        <v>24.19</v>
      </c>
      <c r="F33" s="16">
        <v>1.2410000000000001</v>
      </c>
      <c r="G33" s="16">
        <v>1.105</v>
      </c>
      <c r="H33" s="16">
        <v>350</v>
      </c>
      <c r="I33" s="16">
        <v>75.569999999999993</v>
      </c>
      <c r="J33" s="16">
        <v>1.722</v>
      </c>
      <c r="K33" s="16">
        <v>0.71099999999999997</v>
      </c>
      <c r="L33" s="16">
        <v>0.70199999999999996</v>
      </c>
      <c r="M33" s="16">
        <v>1000</v>
      </c>
      <c r="N33" s="16">
        <v>151.13</v>
      </c>
      <c r="O33" s="16">
        <v>1.57</v>
      </c>
      <c r="P33" s="16">
        <v>0.68300000000000005</v>
      </c>
      <c r="Q33" s="16">
        <v>151.13</v>
      </c>
      <c r="R33" s="16">
        <v>1.494</v>
      </c>
      <c r="S33" s="16">
        <v>0.67100000000000004</v>
      </c>
    </row>
    <row r="34" spans="1:24" ht="16.5" x14ac:dyDescent="0.25">
      <c r="A34" s="12">
        <v>41183</v>
      </c>
      <c r="B34" s="15">
        <v>12.86</v>
      </c>
      <c r="C34" s="15">
        <v>1.139</v>
      </c>
      <c r="D34" s="15">
        <v>120</v>
      </c>
      <c r="E34" s="15">
        <v>24.22</v>
      </c>
      <c r="F34" s="15">
        <v>1.2390000000000001</v>
      </c>
      <c r="G34" s="15">
        <v>1.103</v>
      </c>
      <c r="H34" s="15">
        <v>350</v>
      </c>
      <c r="I34" s="15">
        <v>75.67</v>
      </c>
      <c r="J34" s="15">
        <v>1.724</v>
      </c>
      <c r="K34" s="15">
        <v>0.70899999999999996</v>
      </c>
      <c r="L34" s="15">
        <v>0.7</v>
      </c>
      <c r="M34" s="15">
        <v>1000</v>
      </c>
      <c r="N34" s="15">
        <v>151.33000000000001</v>
      </c>
      <c r="O34" s="15">
        <v>1.5720000000000001</v>
      </c>
      <c r="P34" s="15">
        <v>0.68</v>
      </c>
      <c r="Q34" s="15">
        <v>151.13</v>
      </c>
      <c r="R34" s="15">
        <v>1.496</v>
      </c>
      <c r="S34" s="15">
        <v>0.66800000000000004</v>
      </c>
      <c r="U34" s="3"/>
      <c r="V34" s="29"/>
      <c r="W34" s="29"/>
      <c r="X34" s="29"/>
    </row>
    <row r="35" spans="1:24" ht="16.5" x14ac:dyDescent="0.25">
      <c r="A35" s="13">
        <v>41275</v>
      </c>
      <c r="B35" s="16">
        <v>12.79</v>
      </c>
      <c r="C35" s="16">
        <v>1.115</v>
      </c>
      <c r="D35" s="16">
        <v>120</v>
      </c>
      <c r="E35" s="16">
        <v>24.09</v>
      </c>
      <c r="F35" s="16">
        <v>1.2130000000000001</v>
      </c>
      <c r="G35" s="16">
        <v>1.077</v>
      </c>
      <c r="H35" s="16">
        <v>350</v>
      </c>
      <c r="I35" s="16">
        <v>75.27</v>
      </c>
      <c r="J35" s="16">
        <v>1.712</v>
      </c>
      <c r="K35" s="16">
        <v>0.73399999999999999</v>
      </c>
      <c r="L35" s="16">
        <v>0.72499999999999998</v>
      </c>
      <c r="M35" s="16">
        <v>1000</v>
      </c>
      <c r="N35" s="16">
        <v>150.55000000000001</v>
      </c>
      <c r="O35" s="16">
        <v>1.5609999999999999</v>
      </c>
      <c r="P35" s="16">
        <v>0.70599999999999996</v>
      </c>
      <c r="Q35" s="16">
        <v>150.55000000000001</v>
      </c>
      <c r="R35" s="16">
        <v>1.4850000000000001</v>
      </c>
      <c r="S35" s="16">
        <v>0.69399999999999995</v>
      </c>
      <c r="U35" s="3"/>
      <c r="V35" s="29"/>
      <c r="W35" s="29"/>
      <c r="X35" s="29"/>
    </row>
    <row r="36" spans="1:24" ht="16.5" x14ac:dyDescent="0.25">
      <c r="A36" s="12">
        <v>41365</v>
      </c>
      <c r="B36" s="15">
        <v>12.79</v>
      </c>
      <c r="C36" s="15">
        <v>1.181</v>
      </c>
      <c r="D36" s="15">
        <v>120</v>
      </c>
      <c r="E36" s="15">
        <v>24.09</v>
      </c>
      <c r="F36" s="15">
        <v>1.2789999999999999</v>
      </c>
      <c r="G36" s="15">
        <v>1.143</v>
      </c>
      <c r="H36" s="15">
        <v>350</v>
      </c>
      <c r="I36" s="15">
        <v>75.27</v>
      </c>
      <c r="J36" s="15">
        <v>1.712</v>
      </c>
      <c r="K36" s="15">
        <v>0.80100000000000005</v>
      </c>
      <c r="L36" s="15">
        <v>0.79100000000000004</v>
      </c>
      <c r="M36" s="15">
        <v>1000</v>
      </c>
      <c r="N36" s="15">
        <v>150.55000000000001</v>
      </c>
      <c r="O36" s="15">
        <v>1.5609999999999999</v>
      </c>
      <c r="P36" s="15">
        <v>0.77200000000000002</v>
      </c>
      <c r="Q36" s="15">
        <v>150.55000000000001</v>
      </c>
      <c r="R36" s="15">
        <v>1.4850000000000001</v>
      </c>
      <c r="S36" s="15">
        <v>0.76</v>
      </c>
      <c r="U36" s="3"/>
      <c r="V36" s="29"/>
      <c r="W36" s="19"/>
      <c r="X36" s="19"/>
    </row>
    <row r="37" spans="1:24" ht="16.5" x14ac:dyDescent="0.25">
      <c r="A37" s="13">
        <v>41395</v>
      </c>
      <c r="B37" s="16">
        <v>12.79</v>
      </c>
      <c r="C37" s="16">
        <v>1.234</v>
      </c>
      <c r="D37" s="16">
        <v>120</v>
      </c>
      <c r="E37" s="16">
        <v>24.09</v>
      </c>
      <c r="F37" s="16">
        <v>1.3320000000000001</v>
      </c>
      <c r="G37" s="16">
        <v>1.196</v>
      </c>
      <c r="H37" s="16">
        <v>350</v>
      </c>
      <c r="I37" s="16">
        <v>75.27</v>
      </c>
      <c r="J37" s="16">
        <v>1.712</v>
      </c>
      <c r="K37" s="16">
        <v>0.85299999999999998</v>
      </c>
      <c r="L37" s="16">
        <v>0.84399999999999997</v>
      </c>
      <c r="M37" s="16">
        <v>1000</v>
      </c>
      <c r="N37" s="16">
        <v>150.55000000000001</v>
      </c>
      <c r="O37" s="16">
        <v>1.5309999999999999</v>
      </c>
      <c r="P37" s="16">
        <v>0.82499999999999996</v>
      </c>
      <c r="Q37" s="16">
        <v>150.55000000000001</v>
      </c>
      <c r="R37" s="16">
        <v>1.4850000000000001</v>
      </c>
      <c r="S37" s="16">
        <v>0.81299999999999994</v>
      </c>
      <c r="U37" s="3"/>
      <c r="V37" s="4"/>
      <c r="W37" s="4"/>
      <c r="X37" s="4"/>
    </row>
    <row r="38" spans="1:24" x14ac:dyDescent="0.25">
      <c r="A38" s="12">
        <v>41456</v>
      </c>
      <c r="B38" s="15">
        <v>12.89</v>
      </c>
      <c r="C38" s="15">
        <v>1.2609999999999999</v>
      </c>
      <c r="D38" s="15">
        <v>120</v>
      </c>
      <c r="E38" s="15">
        <v>24.28</v>
      </c>
      <c r="F38" s="15">
        <v>1.359</v>
      </c>
      <c r="G38" s="15">
        <v>1.222</v>
      </c>
      <c r="H38" s="15">
        <v>350</v>
      </c>
      <c r="I38" s="15">
        <v>75.86</v>
      </c>
      <c r="J38" s="15">
        <v>1.716</v>
      </c>
      <c r="K38" s="15">
        <v>0.878</v>
      </c>
      <c r="L38" s="15">
        <v>0.86899999999999999</v>
      </c>
      <c r="M38" s="15">
        <v>1000</v>
      </c>
      <c r="N38" s="15">
        <v>151.72</v>
      </c>
      <c r="O38" s="15">
        <v>1.5640000000000001</v>
      </c>
      <c r="P38" s="15">
        <v>0.84899999999999998</v>
      </c>
      <c r="Q38" s="15">
        <v>151.72</v>
      </c>
      <c r="R38" s="15">
        <v>1.4870000000000001</v>
      </c>
      <c r="S38" s="15">
        <v>0.83699999999999997</v>
      </c>
      <c r="U38" s="3"/>
      <c r="V38" s="3"/>
      <c r="W38" s="3"/>
      <c r="X38" s="3"/>
    </row>
    <row r="39" spans="1:24" x14ac:dyDescent="0.25">
      <c r="A39" s="13">
        <v>41548</v>
      </c>
      <c r="B39" s="16">
        <v>12.89</v>
      </c>
      <c r="C39" s="16">
        <v>1.2090000000000001</v>
      </c>
      <c r="D39" s="16">
        <v>120</v>
      </c>
      <c r="E39" s="16">
        <v>24.28</v>
      </c>
      <c r="F39" s="16">
        <v>1.3080000000000001</v>
      </c>
      <c r="G39" s="16">
        <v>1.171</v>
      </c>
      <c r="H39" s="16">
        <v>350</v>
      </c>
      <c r="I39" s="16">
        <v>75.86</v>
      </c>
      <c r="J39" s="16">
        <v>1.718</v>
      </c>
      <c r="K39" s="16">
        <v>0.82599999999999996</v>
      </c>
      <c r="L39" s="16">
        <v>0.81699999999999995</v>
      </c>
      <c r="M39" s="16">
        <v>1000</v>
      </c>
      <c r="N39" s="16">
        <v>151.72</v>
      </c>
      <c r="O39" s="16">
        <v>1.5660000000000001</v>
      </c>
      <c r="P39" s="16">
        <v>0.79700000000000004</v>
      </c>
      <c r="Q39" s="16">
        <v>151.72</v>
      </c>
      <c r="R39" s="16">
        <v>1.49</v>
      </c>
      <c r="S39" s="16">
        <v>0.78500000000000003</v>
      </c>
      <c r="U39" s="3"/>
      <c r="V39" s="3"/>
      <c r="W39" s="3"/>
      <c r="X39" s="3"/>
    </row>
    <row r="40" spans="1:24" ht="16.5" x14ac:dyDescent="0.25">
      <c r="A40" s="12">
        <v>41640</v>
      </c>
      <c r="B40" s="15">
        <v>12.79</v>
      </c>
      <c r="C40" s="15">
        <v>1.1839999999999999</v>
      </c>
      <c r="D40" s="15">
        <v>120</v>
      </c>
      <c r="E40" s="15">
        <v>24.08</v>
      </c>
      <c r="F40" s="15">
        <v>1.4139999999999999</v>
      </c>
      <c r="G40" s="15">
        <v>1.278</v>
      </c>
      <c r="H40" s="15">
        <v>350</v>
      </c>
      <c r="I40" s="15">
        <v>75.239999999999995</v>
      </c>
      <c r="J40" s="15">
        <v>1.71</v>
      </c>
      <c r="K40" s="15">
        <v>0.87</v>
      </c>
      <c r="L40" s="15">
        <v>0.86</v>
      </c>
      <c r="M40" s="15">
        <v>1000</v>
      </c>
      <c r="N40" s="15">
        <v>150.47</v>
      </c>
      <c r="O40" s="15">
        <v>1.56</v>
      </c>
      <c r="P40" s="15">
        <v>0.84099999999999997</v>
      </c>
      <c r="Q40" s="15">
        <v>150.47</v>
      </c>
      <c r="R40" s="15">
        <v>1.484</v>
      </c>
      <c r="S40" s="15">
        <v>0.82899999999999996</v>
      </c>
      <c r="U40" s="29"/>
      <c r="V40" s="29"/>
      <c r="W40" s="29"/>
      <c r="X40" s="29"/>
    </row>
    <row r="41" spans="1:24" ht="16.5" x14ac:dyDescent="0.25">
      <c r="A41" s="13">
        <v>41760</v>
      </c>
      <c r="B41" s="16">
        <v>12.79</v>
      </c>
      <c r="C41" s="16">
        <v>1.2390000000000001</v>
      </c>
      <c r="D41" s="16">
        <v>120</v>
      </c>
      <c r="E41" s="16">
        <v>24.08</v>
      </c>
      <c r="F41" s="16">
        <v>1.379</v>
      </c>
      <c r="G41" s="16">
        <v>1.244</v>
      </c>
      <c r="H41" s="16">
        <v>350</v>
      </c>
      <c r="I41" s="16">
        <v>75.239999999999995</v>
      </c>
      <c r="J41" s="16">
        <v>1.71</v>
      </c>
      <c r="K41" s="16">
        <v>0.83499999999999996</v>
      </c>
      <c r="L41" s="16">
        <v>0.82599999999999996</v>
      </c>
      <c r="M41" s="16">
        <v>1000</v>
      </c>
      <c r="N41" s="16">
        <v>150.47</v>
      </c>
      <c r="O41" s="16">
        <v>1.56</v>
      </c>
      <c r="P41" s="16">
        <v>0.80700000000000005</v>
      </c>
      <c r="Q41" s="16">
        <v>150.47</v>
      </c>
      <c r="R41" s="16">
        <v>1.484</v>
      </c>
      <c r="S41" s="16">
        <v>0.79400000000000004</v>
      </c>
      <c r="U41" s="29"/>
      <c r="V41" s="29"/>
      <c r="W41" s="29"/>
      <c r="X41" s="29"/>
    </row>
    <row r="42" spans="1:24" ht="16.5" x14ac:dyDescent="0.25">
      <c r="A42" s="12">
        <v>41821</v>
      </c>
      <c r="B42" s="15">
        <v>13.08</v>
      </c>
      <c r="C42" s="15">
        <v>1.2250000000000001</v>
      </c>
      <c r="D42" s="15">
        <v>120</v>
      </c>
      <c r="E42" s="15">
        <v>24.64</v>
      </c>
      <c r="F42" s="15">
        <v>1.325</v>
      </c>
      <c r="G42" s="15">
        <v>1.1870000000000001</v>
      </c>
      <c r="H42" s="15">
        <v>350</v>
      </c>
      <c r="I42" s="15">
        <v>76.989999999999995</v>
      </c>
      <c r="J42" s="15">
        <v>1.742</v>
      </c>
      <c r="K42" s="15">
        <v>0.83699999999999997</v>
      </c>
      <c r="L42" s="15">
        <v>0.82699999999999996</v>
      </c>
      <c r="M42" s="15">
        <v>1000</v>
      </c>
      <c r="N42" s="15">
        <v>153.99</v>
      </c>
      <c r="O42" s="15">
        <v>1.5880000000000001</v>
      </c>
      <c r="P42" s="15">
        <v>0.80800000000000005</v>
      </c>
      <c r="Q42" s="15">
        <v>153.99</v>
      </c>
      <c r="R42" s="15">
        <v>1.51</v>
      </c>
      <c r="S42" s="15">
        <v>0.79500000000000004</v>
      </c>
      <c r="U42" s="29"/>
      <c r="V42" s="29"/>
      <c r="W42" s="19"/>
      <c r="X42" s="19"/>
    </row>
    <row r="43" spans="1:24" ht="16.5" x14ac:dyDescent="0.25">
      <c r="A43" s="13">
        <v>42005</v>
      </c>
      <c r="B43" s="16">
        <v>12.81</v>
      </c>
      <c r="C43" s="16">
        <f>0.593+0.619</f>
        <v>1.212</v>
      </c>
      <c r="D43" s="16">
        <v>120</v>
      </c>
      <c r="E43" s="16">
        <v>24.12</v>
      </c>
      <c r="F43" s="16">
        <f>0.691+0.619</f>
        <v>1.31</v>
      </c>
      <c r="G43" s="16">
        <f>0.593+0.619</f>
        <v>1.212</v>
      </c>
      <c r="H43" s="16">
        <v>350</v>
      </c>
      <c r="I43" s="16">
        <v>75.349999999999994</v>
      </c>
      <c r="J43" s="16">
        <v>1.7090000000000001</v>
      </c>
      <c r="K43" s="16">
        <f>0.212+0.619</f>
        <v>0.83099999999999996</v>
      </c>
      <c r="L43" s="16">
        <f>0.203+0.619</f>
        <v>0.82200000000000006</v>
      </c>
      <c r="M43" s="16">
        <v>1000</v>
      </c>
      <c r="N43" s="16">
        <v>150.71</v>
      </c>
      <c r="O43" s="16">
        <v>1.5880000000000001</v>
      </c>
      <c r="P43" s="16">
        <f>0.184+0.619</f>
        <v>0.80299999999999994</v>
      </c>
      <c r="Q43" s="16">
        <v>150.71</v>
      </c>
      <c r="R43" s="16">
        <v>1.4810000000000001</v>
      </c>
      <c r="S43" s="16">
        <f>0.172+0.619</f>
        <v>0.79099999999999993</v>
      </c>
      <c r="U43" s="5"/>
      <c r="V43" s="4"/>
      <c r="W43" s="4"/>
      <c r="X43" s="4"/>
    </row>
    <row r="44" spans="1:24" x14ac:dyDescent="0.25">
      <c r="A44" s="12">
        <v>42125</v>
      </c>
      <c r="B44" s="15">
        <v>12.81</v>
      </c>
      <c r="C44" s="15">
        <f>0.593+0.619</f>
        <v>1.212</v>
      </c>
      <c r="D44" s="15">
        <v>120</v>
      </c>
      <c r="E44" s="15">
        <v>24.12</v>
      </c>
      <c r="F44" s="15">
        <f>0.691+0.594</f>
        <v>1.2849999999999999</v>
      </c>
      <c r="G44" s="15">
        <f>0.555+0.594</f>
        <v>1.149</v>
      </c>
      <c r="H44" s="15">
        <v>350</v>
      </c>
      <c r="I44" s="15">
        <v>75.349999999999994</v>
      </c>
      <c r="J44" s="15">
        <v>1.7090000000000001</v>
      </c>
      <c r="K44" s="15">
        <f>0.213+0.594</f>
        <v>0.80699999999999994</v>
      </c>
      <c r="L44" s="15">
        <f>0.204+0.594</f>
        <v>0.79799999999999993</v>
      </c>
      <c r="M44" s="15">
        <v>1000</v>
      </c>
      <c r="N44" s="15">
        <v>150.71</v>
      </c>
      <c r="O44" s="15">
        <v>1.5880000000000001</v>
      </c>
      <c r="P44" s="15">
        <f>0.185+0.594</f>
        <v>0.77899999999999991</v>
      </c>
      <c r="Q44" s="15">
        <v>150.71</v>
      </c>
      <c r="R44" s="15">
        <v>1.4810000000000001</v>
      </c>
      <c r="S44" s="15">
        <f>0.172+0.594</f>
        <v>0.76600000000000001</v>
      </c>
    </row>
    <row r="45" spans="1:24" x14ac:dyDescent="0.25">
      <c r="A45" s="13">
        <v>42186</v>
      </c>
      <c r="B45" s="16">
        <v>12.47</v>
      </c>
      <c r="C45" s="16">
        <f>0.582+0.578</f>
        <v>1.1599999999999999</v>
      </c>
      <c r="D45" s="16">
        <v>120</v>
      </c>
      <c r="E45" s="16">
        <v>23.49</v>
      </c>
      <c r="F45" s="16">
        <f>0.678+0.578</f>
        <v>1.256</v>
      </c>
      <c r="G45" s="16">
        <f>0.593+0.619</f>
        <v>1.212</v>
      </c>
      <c r="H45" s="16">
        <v>350</v>
      </c>
      <c r="I45" s="16">
        <v>73.400000000000006</v>
      </c>
      <c r="J45" s="16">
        <v>1.6060000000000001</v>
      </c>
      <c r="K45" s="16">
        <f>0.208+0.578</f>
        <v>0.78599999999999992</v>
      </c>
      <c r="L45" s="16">
        <f>0.3+0.578</f>
        <v>0.87799999999999989</v>
      </c>
      <c r="M45" s="16">
        <v>1000</v>
      </c>
      <c r="N45" s="16">
        <v>146.80000000000001</v>
      </c>
      <c r="O45" s="16">
        <v>1.5489999999999999</v>
      </c>
      <c r="P45" s="16">
        <f>0.181+0.578</f>
        <v>0.7589999999999999</v>
      </c>
      <c r="Q45" s="16">
        <v>146.80000000000001</v>
      </c>
      <c r="R45" s="16">
        <v>1.4750000000000001</v>
      </c>
      <c r="S45" s="16">
        <f>0.169+0.578</f>
        <v>0.747</v>
      </c>
    </row>
    <row r="46" spans="1:24" x14ac:dyDescent="0.25">
      <c r="A46" s="12">
        <v>42278</v>
      </c>
      <c r="B46" s="15">
        <v>12.47</v>
      </c>
      <c r="C46" s="15">
        <f>0.57+0.566</f>
        <v>1.1359999999999999</v>
      </c>
      <c r="D46" s="15">
        <v>120</v>
      </c>
      <c r="E46" s="15">
        <v>23.49</v>
      </c>
      <c r="F46" s="15">
        <f>0.666+0.566</f>
        <v>1.232</v>
      </c>
      <c r="G46" s="15">
        <f>0.534+0.666</f>
        <v>1.2000000000000002</v>
      </c>
      <c r="H46" s="15">
        <v>350</v>
      </c>
      <c r="I46" s="15">
        <v>73.400000000000006</v>
      </c>
      <c r="J46" s="15">
        <v>1.631</v>
      </c>
      <c r="K46" s="15">
        <f>0.203+0.566</f>
        <v>0.76899999999999991</v>
      </c>
      <c r="L46" s="15">
        <f>0.194+0.566</f>
        <v>0.76</v>
      </c>
      <c r="M46" s="15">
        <v>1000</v>
      </c>
      <c r="N46" s="15">
        <v>146.80000000000001</v>
      </c>
      <c r="O46" s="15">
        <v>1.484</v>
      </c>
      <c r="P46" s="15">
        <f>0.176+0.566</f>
        <v>0.74199999999999999</v>
      </c>
      <c r="Q46" s="15">
        <v>146.80000000000001</v>
      </c>
      <c r="R46" s="15">
        <v>1.41</v>
      </c>
      <c r="S46" s="15">
        <f>0.163+0.566</f>
        <v>0.72899999999999998</v>
      </c>
    </row>
    <row r="47" spans="1:24" s="6" customFormat="1" x14ac:dyDescent="0.25">
      <c r="A47" s="13">
        <v>42370</v>
      </c>
      <c r="B47" s="16">
        <v>12.16</v>
      </c>
      <c r="C47" s="16">
        <f>0.558+0.538</f>
        <v>1.0960000000000001</v>
      </c>
      <c r="D47" s="16">
        <v>120</v>
      </c>
      <c r="E47" s="16">
        <v>22.9</v>
      </c>
      <c r="F47" s="16">
        <f>0.651+0.538</f>
        <v>1.1890000000000001</v>
      </c>
      <c r="G47" s="16">
        <f>0.523+0.538</f>
        <v>1.0609999999999999</v>
      </c>
      <c r="H47" s="16">
        <v>350</v>
      </c>
      <c r="I47" s="16">
        <v>71.56</v>
      </c>
      <c r="J47" s="16">
        <v>1.62</v>
      </c>
      <c r="K47" s="16">
        <f>0.197+0.538</f>
        <v>0.7350000000000001</v>
      </c>
      <c r="L47" s="16">
        <f>0.189+0.538</f>
        <v>0.72700000000000009</v>
      </c>
      <c r="M47" s="16">
        <v>1000</v>
      </c>
      <c r="N47" s="16">
        <v>143.12</v>
      </c>
      <c r="O47" s="16">
        <v>1.476</v>
      </c>
      <c r="P47" s="16">
        <f>0.171+0.538</f>
        <v>0.70900000000000007</v>
      </c>
      <c r="Q47" s="16">
        <f t="shared" ref="Q47:Q52" si="0">N47</f>
        <v>143.12</v>
      </c>
      <c r="R47" s="16">
        <v>1.4039999999999999</v>
      </c>
      <c r="S47" s="16">
        <f>0.159+0.538</f>
        <v>0.69700000000000006</v>
      </c>
    </row>
    <row r="48" spans="1:24" s="6" customFormat="1" x14ac:dyDescent="0.25">
      <c r="A48" s="12">
        <v>42491</v>
      </c>
      <c r="B48" s="15">
        <v>12.15</v>
      </c>
      <c r="C48" s="15">
        <f>0.562+0.538</f>
        <v>1.1000000000000001</v>
      </c>
      <c r="D48" s="15">
        <v>120</v>
      </c>
      <c r="E48" s="15">
        <v>22.88</v>
      </c>
      <c r="F48" s="15">
        <f>0.655+0.538</f>
        <v>1.1930000000000001</v>
      </c>
      <c r="G48" s="15">
        <f>0.526+0.538</f>
        <v>1.0640000000000001</v>
      </c>
      <c r="H48" s="15">
        <v>350</v>
      </c>
      <c r="I48" s="15">
        <v>71.48</v>
      </c>
      <c r="J48" s="15">
        <v>1.619</v>
      </c>
      <c r="K48" s="15">
        <f>0.201+0.538</f>
        <v>0.7390000000000001</v>
      </c>
      <c r="L48" s="15">
        <f>0.192+0.538</f>
        <v>0.73</v>
      </c>
      <c r="M48" s="15">
        <v>1000</v>
      </c>
      <c r="N48" s="15">
        <v>142.97</v>
      </c>
      <c r="O48" s="15">
        <v>1.476</v>
      </c>
      <c r="P48" s="15">
        <f>0.175+0.538</f>
        <v>0.71300000000000008</v>
      </c>
      <c r="Q48" s="15">
        <f t="shared" si="0"/>
        <v>142.97</v>
      </c>
      <c r="R48" s="15">
        <v>1.4039999999999999</v>
      </c>
      <c r="S48" s="15">
        <f>0.162+0.538</f>
        <v>0.70000000000000007</v>
      </c>
    </row>
    <row r="49" spans="1:19" s="6" customFormat="1" x14ac:dyDescent="0.25">
      <c r="A49" s="13">
        <v>42522</v>
      </c>
      <c r="B49" s="16">
        <v>12.15</v>
      </c>
      <c r="C49" s="16">
        <f>0.554+0.482</f>
        <v>1.036</v>
      </c>
      <c r="D49" s="16">
        <v>120</v>
      </c>
      <c r="E49" s="16">
        <v>22.88</v>
      </c>
      <c r="F49" s="16">
        <f>0.647+0.482</f>
        <v>1.129</v>
      </c>
      <c r="G49" s="16">
        <f>0.518+0.482</f>
        <v>1</v>
      </c>
      <c r="H49" s="16">
        <v>350</v>
      </c>
      <c r="I49" s="16">
        <v>71.48</v>
      </c>
      <c r="J49" s="16">
        <v>1.619</v>
      </c>
      <c r="K49" s="16">
        <f>0.193+0.482</f>
        <v>0.67500000000000004</v>
      </c>
      <c r="L49" s="16">
        <f>0.185+0.482</f>
        <v>0.66700000000000004</v>
      </c>
      <c r="M49" s="16">
        <v>1000</v>
      </c>
      <c r="N49" s="16">
        <v>142.97</v>
      </c>
      <c r="O49" s="16">
        <v>1.476</v>
      </c>
      <c r="P49" s="16">
        <f>0.167+0.482</f>
        <v>0.64900000000000002</v>
      </c>
      <c r="Q49" s="16">
        <f t="shared" si="0"/>
        <v>142.97</v>
      </c>
      <c r="R49" s="16">
        <v>1.4039999999999999</v>
      </c>
      <c r="S49" s="16">
        <f>0.155+0.482</f>
        <v>0.63700000000000001</v>
      </c>
    </row>
    <row r="50" spans="1:19" x14ac:dyDescent="0.25">
      <c r="A50" s="12">
        <v>42552</v>
      </c>
      <c r="B50" s="15">
        <v>12.07</v>
      </c>
      <c r="C50" s="15">
        <f>0.549+0.482</f>
        <v>1.0310000000000001</v>
      </c>
      <c r="D50" s="15">
        <v>120</v>
      </c>
      <c r="E50" s="15">
        <v>22.73</v>
      </c>
      <c r="F50" s="15">
        <f>0.641+0.482</f>
        <v>1.123</v>
      </c>
      <c r="G50" s="15">
        <f>0.513+0.482</f>
        <v>0.995</v>
      </c>
      <c r="H50" s="15">
        <v>350</v>
      </c>
      <c r="I50" s="15">
        <v>71.010000000000005</v>
      </c>
      <c r="J50" s="15">
        <v>1.581</v>
      </c>
      <c r="K50" s="15">
        <f>0.193+0.482</f>
        <v>0.67500000000000004</v>
      </c>
      <c r="L50" s="15">
        <f>0.184+0.482</f>
        <v>0.66599999999999993</v>
      </c>
      <c r="M50" s="15">
        <v>1000</v>
      </c>
      <c r="N50" s="15">
        <v>142.03</v>
      </c>
      <c r="O50" s="15">
        <v>1.4379999999999999</v>
      </c>
      <c r="P50" s="15">
        <f>0.167+0.482</f>
        <v>0.64900000000000002</v>
      </c>
      <c r="Q50" s="15">
        <f t="shared" si="0"/>
        <v>142.03</v>
      </c>
      <c r="R50" s="15">
        <v>1.367</v>
      </c>
      <c r="S50" s="15">
        <f>0.154+0.482</f>
        <v>0.63600000000000001</v>
      </c>
    </row>
    <row r="51" spans="1:19" x14ac:dyDescent="0.25">
      <c r="A51" s="13">
        <v>42644</v>
      </c>
      <c r="B51" s="16">
        <v>12.07</v>
      </c>
      <c r="C51" s="16">
        <f>0.505+0.193</f>
        <v>0.69799999999999995</v>
      </c>
      <c r="D51" s="16">
        <v>120</v>
      </c>
      <c r="E51" s="16">
        <v>22.73</v>
      </c>
      <c r="F51" s="16">
        <f>0.598+0.193</f>
        <v>0.79099999999999993</v>
      </c>
      <c r="G51" s="16">
        <f>0.47+0.193</f>
        <v>0.66300000000000003</v>
      </c>
      <c r="H51" s="16">
        <v>350</v>
      </c>
      <c r="I51" s="16">
        <v>71.010000000000005</v>
      </c>
      <c r="J51" s="16">
        <v>1.581</v>
      </c>
      <c r="K51" s="16">
        <f>0.15+0.193</f>
        <v>0.34299999999999997</v>
      </c>
      <c r="L51" s="16">
        <f>0.141+0.193</f>
        <v>0.33399999999999996</v>
      </c>
      <c r="M51" s="16">
        <v>1000</v>
      </c>
      <c r="N51" s="16">
        <v>142.03</v>
      </c>
      <c r="O51" s="16">
        <v>1.4379999999999999</v>
      </c>
      <c r="P51" s="16">
        <f>0.193+0.123</f>
        <v>0.316</v>
      </c>
      <c r="Q51" s="16">
        <f t="shared" si="0"/>
        <v>142.03</v>
      </c>
      <c r="R51" s="16">
        <v>1.367</v>
      </c>
      <c r="S51" s="16">
        <f>0.111+0.193</f>
        <v>0.30399999999999999</v>
      </c>
    </row>
    <row r="52" spans="1:19" x14ac:dyDescent="0.25">
      <c r="A52" s="12">
        <v>42736</v>
      </c>
      <c r="B52" s="15">
        <v>12.17</v>
      </c>
      <c r="C52" s="15">
        <f>0.522+0.274</f>
        <v>0.79600000000000004</v>
      </c>
      <c r="D52" s="15">
        <v>120</v>
      </c>
      <c r="E52" s="15">
        <v>22.93</v>
      </c>
      <c r="F52" s="15">
        <f>0.615+0.274</f>
        <v>0.88900000000000001</v>
      </c>
      <c r="G52" s="15">
        <f>0.486+0.274</f>
        <v>0.76</v>
      </c>
      <c r="H52" s="15">
        <v>350</v>
      </c>
      <c r="I52" s="15">
        <v>71.64</v>
      </c>
      <c r="J52" s="15">
        <v>1.609</v>
      </c>
      <c r="K52" s="15">
        <f>0.161+0.74</f>
        <v>0.90100000000000002</v>
      </c>
      <c r="L52" s="15">
        <f>0.153+0.274</f>
        <v>0.42700000000000005</v>
      </c>
      <c r="M52" s="15">
        <v>1000</v>
      </c>
      <c r="N52" s="15">
        <v>143.28</v>
      </c>
      <c r="O52" s="15">
        <v>1.466</v>
      </c>
      <c r="P52" s="15">
        <f>0.134+0.274</f>
        <v>0.40800000000000003</v>
      </c>
      <c r="Q52" s="15">
        <f t="shared" si="0"/>
        <v>143.28</v>
      </c>
      <c r="R52" s="15">
        <v>1.3939999999999999</v>
      </c>
      <c r="S52" s="15">
        <f>0.123+0.274</f>
        <v>0.39700000000000002</v>
      </c>
    </row>
    <row r="53" spans="1:19" ht="15.95" customHeight="1" x14ac:dyDescent="0.25">
      <c r="A53" s="13">
        <v>42979</v>
      </c>
      <c r="B53" s="16">
        <v>12.45</v>
      </c>
      <c r="C53" s="16">
        <v>0.76500000000000001</v>
      </c>
      <c r="D53" s="16">
        <v>120</v>
      </c>
      <c r="E53" s="16">
        <v>23.44</v>
      </c>
      <c r="F53" s="16">
        <v>0.86099999999999999</v>
      </c>
      <c r="G53" s="16">
        <v>0.72899999999999998</v>
      </c>
      <c r="H53" s="16">
        <v>350</v>
      </c>
      <c r="I53" s="16" t="s">
        <v>15</v>
      </c>
      <c r="J53" s="16" t="s">
        <v>15</v>
      </c>
      <c r="K53" s="16" t="s">
        <v>15</v>
      </c>
      <c r="L53" s="16" t="s">
        <v>15</v>
      </c>
      <c r="M53" s="16" t="s">
        <v>15</v>
      </c>
      <c r="N53" s="16" t="s">
        <v>15</v>
      </c>
      <c r="O53" s="16" t="s">
        <v>15</v>
      </c>
      <c r="P53" s="16" t="s">
        <v>15</v>
      </c>
      <c r="Q53" s="16" t="s">
        <v>15</v>
      </c>
      <c r="R53" s="16" t="s">
        <v>15</v>
      </c>
      <c r="S53" s="16" t="s">
        <v>15</v>
      </c>
    </row>
    <row r="54" spans="1:19" s="7" customFormat="1" ht="15.75" customHeight="1" x14ac:dyDescent="0.25">
      <c r="A54" s="20" t="s">
        <v>9</v>
      </c>
      <c r="B54" s="20"/>
      <c r="C54" s="20"/>
      <c r="D54" s="20"/>
      <c r="E54" s="20"/>
      <c r="F54" s="20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</row>
    <row r="55" spans="1:19" s="7" customFormat="1" ht="15.75" customHeight="1" x14ac:dyDescent="0.25">
      <c r="A55" s="20" t="s">
        <v>10</v>
      </c>
      <c r="B55" s="20"/>
      <c r="C55" s="20"/>
      <c r="D55" s="20"/>
      <c r="E55" s="20"/>
      <c r="F55" s="20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</row>
    <row r="56" spans="1:19" s="7" customFormat="1" ht="15.75" customHeight="1" x14ac:dyDescent="0.25">
      <c r="A56" s="20" t="s">
        <v>11</v>
      </c>
      <c r="B56" s="20"/>
      <c r="C56" s="20"/>
      <c r="D56" s="20"/>
      <c r="E56" s="20"/>
      <c r="F56" s="20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</row>
    <row r="57" spans="1:19" s="7" customFormat="1" ht="15.75" customHeight="1" x14ac:dyDescent="0.25">
      <c r="A57" s="20" t="s">
        <v>25</v>
      </c>
      <c r="B57" s="20"/>
      <c r="C57" s="20"/>
      <c r="D57" s="20"/>
      <c r="E57" s="20"/>
      <c r="F57" s="20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</row>
    <row r="58" spans="1:19" s="7" customFormat="1" ht="15.75" customHeight="1" x14ac:dyDescent="0.25">
      <c r="A58" s="20" t="s">
        <v>12</v>
      </c>
      <c r="B58" s="20"/>
      <c r="C58" s="20"/>
      <c r="D58" s="20"/>
      <c r="E58" s="20"/>
      <c r="F58" s="20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</row>
    <row r="59" spans="1:19" s="7" customFormat="1" ht="15.75" customHeight="1" x14ac:dyDescent="0.25">
      <c r="A59" s="20" t="s">
        <v>13</v>
      </c>
      <c r="B59" s="20"/>
      <c r="C59" s="20"/>
      <c r="D59" s="20"/>
      <c r="E59" s="20"/>
      <c r="F59" s="20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</row>
    <row r="60" spans="1:19" s="7" customFormat="1" ht="15.75" customHeight="1" x14ac:dyDescent="0.25">
      <c r="A60" s="20" t="s">
        <v>28</v>
      </c>
      <c r="B60" s="20"/>
      <c r="C60" s="20"/>
      <c r="D60" s="20"/>
      <c r="E60" s="20"/>
      <c r="F60" s="20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</row>
    <row r="61" spans="1:19" s="7" customFormat="1" ht="15.75" customHeight="1" x14ac:dyDescent="0.25">
      <c r="A61" s="20" t="s">
        <v>31</v>
      </c>
      <c r="B61" s="20"/>
      <c r="C61" s="20"/>
      <c r="D61" s="20"/>
      <c r="E61" s="20"/>
      <c r="F61" s="20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</row>
    <row r="62" spans="1:19" s="7" customFormat="1" ht="15.75" customHeight="1" x14ac:dyDescent="0.25">
      <c r="A62" s="20" t="s">
        <v>26</v>
      </c>
      <c r="B62" s="20"/>
      <c r="C62" s="20"/>
      <c r="D62" s="20"/>
      <c r="E62" s="20"/>
      <c r="F62" s="20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</row>
    <row r="63" spans="1:19" s="7" customFormat="1" ht="15.75" customHeight="1" x14ac:dyDescent="0.25">
      <c r="A63" s="20" t="s">
        <v>27</v>
      </c>
      <c r="B63" s="20"/>
      <c r="C63" s="20"/>
      <c r="D63" s="20"/>
      <c r="E63" s="20"/>
      <c r="F63" s="20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</row>
    <row r="64" spans="1:19" s="7" customFormat="1" ht="15.75" customHeight="1" x14ac:dyDescent="0.25">
      <c r="A64" s="20"/>
      <c r="B64" s="20"/>
      <c r="C64" s="20"/>
      <c r="D64" s="20"/>
      <c r="E64" s="20"/>
      <c r="F64" s="20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</row>
    <row r="65" spans="1:19" s="7" customFormat="1" ht="15.75" customHeight="1" x14ac:dyDescent="0.25">
      <c r="A65" s="20"/>
      <c r="B65" s="20"/>
      <c r="C65" s="20"/>
      <c r="D65" s="20"/>
      <c r="E65" s="20"/>
      <c r="F65" s="20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</row>
  </sheetData>
  <mergeCells count="13">
    <mergeCell ref="V34:X34"/>
    <mergeCell ref="V35:V36"/>
    <mergeCell ref="W35:X35"/>
    <mergeCell ref="U40:U42"/>
    <mergeCell ref="V40:X40"/>
    <mergeCell ref="V41:V42"/>
    <mergeCell ref="W41:X41"/>
    <mergeCell ref="Q4:S4"/>
    <mergeCell ref="A4:A5"/>
    <mergeCell ref="B4:D4"/>
    <mergeCell ref="E4:H4"/>
    <mergeCell ref="I4:M4"/>
    <mergeCell ref="N4:P4"/>
  </mergeCells>
  <printOptions horizontalCentered="1" verticalCentered="1"/>
  <pageMargins left="3.937007874015748E-2" right="3.937007874015748E-2" top="0.35433070866141736" bottom="0.35433070866141736" header="0.11811023622047245" footer="0.11811023622047245"/>
  <pageSetup paperSize="9" scale="53" firstPageNumber="0" orientation="landscape" horizontalDpi="300" verticalDpi="300" r:id="rId1"/>
  <customProperties>
    <customPr name="GUID" r:id="rId2"/>
  </customPropertie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78"/>
  <sheetViews>
    <sheetView topLeftCell="A10" zoomScale="80" zoomScaleNormal="80" workbookViewId="0">
      <selection activeCell="H34" sqref="H34"/>
    </sheetView>
  </sheetViews>
  <sheetFormatPr baseColWidth="10" defaultColWidth="9.140625" defaultRowHeight="15" x14ac:dyDescent="0.25"/>
  <cols>
    <col min="1" max="1" width="14.5703125" style="14" customWidth="1"/>
    <col min="2" max="1024" width="10.7109375" style="14" customWidth="1"/>
    <col min="1025" max="16384" width="9.140625" style="14"/>
  </cols>
  <sheetData>
    <row r="1" spans="1:19" ht="23.25" x14ac:dyDescent="0.35">
      <c r="B1" s="10" t="s">
        <v>16</v>
      </c>
      <c r="C1" s="10"/>
      <c r="D1" s="10"/>
      <c r="E1" s="8"/>
      <c r="G1" s="2"/>
      <c r="H1" s="2"/>
      <c r="I1" s="2"/>
      <c r="O1" s="2"/>
      <c r="P1" s="2"/>
      <c r="Q1" s="2"/>
      <c r="R1" s="2"/>
      <c r="S1" s="2"/>
    </row>
    <row r="2" spans="1:19" ht="15.75" x14ac:dyDescent="0.25">
      <c r="B2" s="18" t="s">
        <v>17</v>
      </c>
      <c r="C2" s="11"/>
      <c r="D2" s="11"/>
      <c r="E2" s="9"/>
      <c r="G2" s="2"/>
      <c r="H2" s="2"/>
      <c r="I2" s="2"/>
      <c r="O2" s="2"/>
      <c r="P2" s="2"/>
      <c r="Q2" s="2"/>
      <c r="R2" s="2"/>
      <c r="S2" s="2"/>
    </row>
    <row r="3" spans="1:19" ht="15.75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20.25" customHeight="1" x14ac:dyDescent="0.25">
      <c r="A4" s="28" t="s">
        <v>0</v>
      </c>
      <c r="B4" s="25" t="s">
        <v>1</v>
      </c>
      <c r="C4" s="26"/>
      <c r="D4" s="27"/>
      <c r="E4" s="25" t="s">
        <v>2</v>
      </c>
      <c r="F4" s="26"/>
      <c r="G4" s="26"/>
      <c r="H4" s="27"/>
      <c r="I4" s="25" t="s">
        <v>14</v>
      </c>
      <c r="J4" s="26"/>
      <c r="K4" s="26"/>
      <c r="L4" s="26"/>
      <c r="M4" s="27"/>
      <c r="N4" s="25" t="s">
        <v>29</v>
      </c>
      <c r="O4" s="26"/>
      <c r="P4" s="27"/>
      <c r="Q4" s="25" t="s">
        <v>30</v>
      </c>
      <c r="R4" s="26"/>
      <c r="S4" s="27"/>
    </row>
    <row r="5" spans="1:19" ht="51" x14ac:dyDescent="0.25">
      <c r="A5" s="28"/>
      <c r="B5" s="17" t="s">
        <v>3</v>
      </c>
      <c r="C5" s="17" t="s">
        <v>4</v>
      </c>
      <c r="D5" s="17" t="s">
        <v>5</v>
      </c>
      <c r="E5" s="17" t="s">
        <v>6</v>
      </c>
      <c r="F5" s="17" t="s">
        <v>19</v>
      </c>
      <c r="G5" s="17" t="s">
        <v>20</v>
      </c>
      <c r="H5" s="17" t="s">
        <v>5</v>
      </c>
      <c r="I5" s="17" t="s">
        <v>6</v>
      </c>
      <c r="J5" s="17" t="s">
        <v>7</v>
      </c>
      <c r="K5" s="17" t="s">
        <v>23</v>
      </c>
      <c r="L5" s="17" t="s">
        <v>24</v>
      </c>
      <c r="M5" s="17" t="s">
        <v>5</v>
      </c>
      <c r="N5" s="17" t="s">
        <v>8</v>
      </c>
      <c r="O5" s="17" t="s">
        <v>7</v>
      </c>
      <c r="P5" s="17" t="s">
        <v>4</v>
      </c>
      <c r="Q5" s="17" t="s">
        <v>8</v>
      </c>
      <c r="R5" s="17" t="s">
        <v>7</v>
      </c>
      <c r="S5" s="17" t="s">
        <v>4</v>
      </c>
    </row>
    <row r="6" spans="1:19" ht="15.95" customHeight="1" x14ac:dyDescent="0.25">
      <c r="A6" s="12">
        <v>43101</v>
      </c>
      <c r="B6" s="15">
        <v>12.7</v>
      </c>
      <c r="C6" s="15">
        <v>0.83099999999999996</v>
      </c>
      <c r="D6" s="15">
        <v>120</v>
      </c>
      <c r="E6" s="15">
        <v>23.92</v>
      </c>
      <c r="F6" s="15">
        <v>0.92800000000000005</v>
      </c>
      <c r="G6" s="15">
        <v>0.79400000000000004</v>
      </c>
      <c r="H6" s="15">
        <v>350</v>
      </c>
      <c r="I6" s="15" t="s">
        <v>15</v>
      </c>
      <c r="J6" s="15" t="s">
        <v>15</v>
      </c>
      <c r="K6" s="15" t="s">
        <v>15</v>
      </c>
      <c r="L6" s="15" t="s">
        <v>15</v>
      </c>
      <c r="M6" s="15" t="s">
        <v>15</v>
      </c>
      <c r="N6" s="15" t="s">
        <v>15</v>
      </c>
      <c r="O6" s="15" t="s">
        <v>15</v>
      </c>
      <c r="P6" s="15" t="s">
        <v>15</v>
      </c>
      <c r="Q6" s="15" t="s">
        <v>15</v>
      </c>
      <c r="R6" s="15" t="s">
        <v>15</v>
      </c>
      <c r="S6" s="15" t="s">
        <v>15</v>
      </c>
    </row>
    <row r="7" spans="1:19" ht="15.95" customHeight="1" x14ac:dyDescent="0.25">
      <c r="A7" s="13">
        <v>43221</v>
      </c>
      <c r="B7" s="16">
        <v>12.7</v>
      </c>
      <c r="C7" s="16">
        <v>0.95599999999999996</v>
      </c>
      <c r="D7" s="16">
        <v>120</v>
      </c>
      <c r="E7" s="16">
        <v>23.92</v>
      </c>
      <c r="F7" s="16">
        <v>1.0529999999999999</v>
      </c>
      <c r="G7" s="16">
        <v>0.91900000000000004</v>
      </c>
      <c r="H7" s="16">
        <v>350</v>
      </c>
      <c r="I7" s="16" t="s">
        <v>15</v>
      </c>
      <c r="J7" s="16" t="s">
        <v>15</v>
      </c>
      <c r="K7" s="16" t="s">
        <v>15</v>
      </c>
      <c r="L7" s="16" t="s">
        <v>15</v>
      </c>
      <c r="M7" s="16" t="s">
        <v>15</v>
      </c>
      <c r="N7" s="16" t="s">
        <v>15</v>
      </c>
      <c r="O7" s="16" t="s">
        <v>15</v>
      </c>
      <c r="P7" s="16" t="s">
        <v>15</v>
      </c>
      <c r="Q7" s="16" t="s">
        <v>15</v>
      </c>
      <c r="R7" s="16" t="s">
        <v>15</v>
      </c>
      <c r="S7" s="16" t="s">
        <v>15</v>
      </c>
    </row>
    <row r="8" spans="1:19" ht="15.95" customHeight="1" x14ac:dyDescent="0.25">
      <c r="A8" s="12">
        <v>43252</v>
      </c>
      <c r="B8" s="15">
        <v>12.7</v>
      </c>
      <c r="C8" s="15">
        <v>1.0109999999999999</v>
      </c>
      <c r="D8" s="15">
        <v>120</v>
      </c>
      <c r="E8" s="15">
        <v>23.92</v>
      </c>
      <c r="F8" s="15">
        <v>1.1080000000000001</v>
      </c>
      <c r="G8" s="15">
        <v>0.97299999999999998</v>
      </c>
      <c r="H8" s="15">
        <v>350</v>
      </c>
      <c r="I8" s="15" t="s">
        <v>15</v>
      </c>
      <c r="J8" s="15" t="s">
        <v>15</v>
      </c>
      <c r="K8" s="15" t="s">
        <v>15</v>
      </c>
      <c r="L8" s="15" t="s">
        <v>15</v>
      </c>
      <c r="M8" s="15" t="s">
        <v>15</v>
      </c>
      <c r="N8" s="15" t="s">
        <v>15</v>
      </c>
      <c r="O8" s="15" t="s">
        <v>15</v>
      </c>
      <c r="P8" s="15" t="s">
        <v>15</v>
      </c>
      <c r="Q8" s="15" t="s">
        <v>15</v>
      </c>
      <c r="R8" s="15" t="s">
        <v>15</v>
      </c>
      <c r="S8" s="15" t="s">
        <v>15</v>
      </c>
    </row>
    <row r="9" spans="1:19" ht="15.95" customHeight="1" x14ac:dyDescent="0.25">
      <c r="A9" s="13">
        <v>43282</v>
      </c>
      <c r="B9" s="16">
        <v>13.16</v>
      </c>
      <c r="C9" s="16">
        <v>1.0620000000000001</v>
      </c>
      <c r="D9" s="16">
        <v>120</v>
      </c>
      <c r="E9" s="16">
        <v>24.78</v>
      </c>
      <c r="F9" s="16">
        <v>1.163</v>
      </c>
      <c r="G9" s="16">
        <v>1.024</v>
      </c>
      <c r="H9" s="16">
        <v>350</v>
      </c>
      <c r="I9" s="16" t="s">
        <v>15</v>
      </c>
      <c r="J9" s="16" t="s">
        <v>15</v>
      </c>
      <c r="K9" s="16" t="s">
        <v>15</v>
      </c>
      <c r="L9" s="16" t="s">
        <v>15</v>
      </c>
      <c r="M9" s="16" t="s">
        <v>15</v>
      </c>
      <c r="N9" s="16" t="s">
        <v>15</v>
      </c>
      <c r="O9" s="16" t="s">
        <v>15</v>
      </c>
      <c r="P9" s="16" t="s">
        <v>15</v>
      </c>
      <c r="Q9" s="16" t="s">
        <v>15</v>
      </c>
      <c r="R9" s="16" t="s">
        <v>15</v>
      </c>
      <c r="S9" s="16" t="s">
        <v>15</v>
      </c>
    </row>
    <row r="10" spans="1:19" ht="15.95" customHeight="1" x14ac:dyDescent="0.25">
      <c r="A10" s="12">
        <v>43374</v>
      </c>
      <c r="B10" s="15">
        <v>13.16</v>
      </c>
      <c r="C10" s="15">
        <f>1.092+0.049</f>
        <v>1.141</v>
      </c>
      <c r="D10" s="15">
        <v>120</v>
      </c>
      <c r="E10" s="15">
        <v>24.78</v>
      </c>
      <c r="F10" s="15">
        <f>1.193+0.049</f>
        <v>1.242</v>
      </c>
      <c r="G10" s="15">
        <f>1.054+0.049</f>
        <v>1.103</v>
      </c>
      <c r="H10" s="15">
        <v>350</v>
      </c>
      <c r="I10" s="15" t="s">
        <v>15</v>
      </c>
      <c r="J10" s="15" t="s">
        <v>15</v>
      </c>
      <c r="K10" s="15" t="s">
        <v>15</v>
      </c>
      <c r="L10" s="15" t="s">
        <v>15</v>
      </c>
      <c r="M10" s="15" t="s">
        <v>15</v>
      </c>
      <c r="N10" s="15" t="s">
        <v>15</v>
      </c>
      <c r="O10" s="15" t="s">
        <v>15</v>
      </c>
      <c r="P10" s="15" t="s">
        <v>15</v>
      </c>
      <c r="Q10" s="15" t="s">
        <v>15</v>
      </c>
      <c r="R10" s="15" t="s">
        <v>15</v>
      </c>
      <c r="S10" s="15" t="s">
        <v>15</v>
      </c>
    </row>
    <row r="11" spans="1:19" ht="15.95" customHeight="1" x14ac:dyDescent="0.25">
      <c r="A11" s="13">
        <v>43466</v>
      </c>
      <c r="B11" s="16">
        <v>13.14</v>
      </c>
      <c r="C11" s="16">
        <f>1.098+0.043</f>
        <v>1.141</v>
      </c>
      <c r="D11" s="16">
        <v>120</v>
      </c>
      <c r="E11" s="16">
        <v>24.75</v>
      </c>
      <c r="F11" s="16">
        <f>1.199+0.043</f>
        <v>1.242</v>
      </c>
      <c r="G11" s="16">
        <f>1.06+0.043</f>
        <v>1.103</v>
      </c>
      <c r="H11" s="16">
        <v>350</v>
      </c>
      <c r="I11" s="16" t="s">
        <v>15</v>
      </c>
      <c r="J11" s="16" t="s">
        <v>15</v>
      </c>
      <c r="K11" s="16" t="s">
        <v>15</v>
      </c>
      <c r="L11" s="16" t="s">
        <v>15</v>
      </c>
      <c r="M11" s="16" t="s">
        <v>15</v>
      </c>
      <c r="N11" s="16" t="s">
        <v>15</v>
      </c>
      <c r="O11" s="16" t="s">
        <v>15</v>
      </c>
      <c r="P11" s="16" t="s">
        <v>15</v>
      </c>
      <c r="Q11" s="16" t="s">
        <v>15</v>
      </c>
      <c r="R11" s="16" t="s">
        <v>15</v>
      </c>
      <c r="S11" s="16" t="s">
        <v>15</v>
      </c>
    </row>
    <row r="12" spans="1:19" ht="15.95" customHeight="1" x14ac:dyDescent="0.25">
      <c r="A12" s="12">
        <v>43647</v>
      </c>
      <c r="B12" s="15">
        <v>13.24</v>
      </c>
      <c r="C12" s="15">
        <f>1.06+0.031</f>
        <v>1.091</v>
      </c>
      <c r="D12" s="15">
        <v>120</v>
      </c>
      <c r="E12" s="15">
        <v>24.93</v>
      </c>
      <c r="F12" s="15">
        <f>1.161+0.031</f>
        <v>1.1919999999999999</v>
      </c>
      <c r="G12" s="15">
        <f>1.021+0.031</f>
        <v>1.0519999999999998</v>
      </c>
      <c r="H12" s="15">
        <v>350</v>
      </c>
      <c r="I12" s="15">
        <v>77.89</v>
      </c>
      <c r="J12" s="15">
        <v>1.5820000000000001</v>
      </c>
      <c r="K12" s="15">
        <f>0.655+0.031</f>
        <v>0.68600000000000005</v>
      </c>
      <c r="L12" s="15">
        <f>0.646+0.031</f>
        <v>0.67700000000000005</v>
      </c>
      <c r="M12" s="15">
        <v>1000</v>
      </c>
      <c r="N12" s="15" t="s">
        <v>15</v>
      </c>
      <c r="O12" s="15" t="s">
        <v>15</v>
      </c>
      <c r="P12" s="15" t="s">
        <v>15</v>
      </c>
      <c r="Q12" s="15" t="s">
        <v>15</v>
      </c>
      <c r="R12" s="15" t="s">
        <v>15</v>
      </c>
      <c r="S12" s="15" t="s">
        <v>15</v>
      </c>
    </row>
    <row r="13" spans="1:19" ht="15.95" customHeight="1" x14ac:dyDescent="0.25">
      <c r="A13" s="13">
        <v>43709</v>
      </c>
      <c r="B13" s="16">
        <v>13.24</v>
      </c>
      <c r="C13" s="16">
        <f>0.98+0.027</f>
        <v>1.0069999999999999</v>
      </c>
      <c r="D13" s="16">
        <v>120</v>
      </c>
      <c r="E13" s="16">
        <v>24.93</v>
      </c>
      <c r="F13" s="16">
        <f>1.082+0.027</f>
        <v>1.109</v>
      </c>
      <c r="G13" s="16">
        <f>0.941+0.027</f>
        <v>0.96799999999999997</v>
      </c>
      <c r="H13" s="16">
        <v>350</v>
      </c>
      <c r="I13" s="16">
        <v>77.89</v>
      </c>
      <c r="J13" s="16">
        <v>1.5820000000000001</v>
      </c>
      <c r="K13" s="16">
        <f>0.576+0.027</f>
        <v>0.60299999999999998</v>
      </c>
      <c r="L13" s="16">
        <f>0.566+0.027</f>
        <v>0.59299999999999997</v>
      </c>
      <c r="M13" s="16">
        <v>1000</v>
      </c>
      <c r="N13" s="16" t="s">
        <v>15</v>
      </c>
      <c r="O13" s="16" t="s">
        <v>15</v>
      </c>
      <c r="P13" s="16" t="s">
        <v>15</v>
      </c>
      <c r="Q13" s="16" t="s">
        <v>15</v>
      </c>
      <c r="R13" s="16" t="s">
        <v>15</v>
      </c>
      <c r="S13" s="16" t="s">
        <v>15</v>
      </c>
    </row>
    <row r="14" spans="1:19" ht="15.95" customHeight="1" x14ac:dyDescent="0.25">
      <c r="A14" s="12">
        <v>43739</v>
      </c>
      <c r="B14" s="15">
        <v>13.24</v>
      </c>
      <c r="C14" s="15">
        <f>0.897+0.019</f>
        <v>0.91600000000000004</v>
      </c>
      <c r="D14" s="15">
        <v>120</v>
      </c>
      <c r="E14" s="15">
        <v>24.93</v>
      </c>
      <c r="F14" s="15">
        <f>0.998+0.019</f>
        <v>1.0169999999999999</v>
      </c>
      <c r="G14" s="15">
        <f>0.858+0.019</f>
        <v>0.877</v>
      </c>
      <c r="H14" s="15">
        <v>350</v>
      </c>
      <c r="I14" s="15">
        <v>77.89</v>
      </c>
      <c r="J14" s="15">
        <v>1.5820000000000001</v>
      </c>
      <c r="K14" s="15">
        <f>0.492+0.019</f>
        <v>0.51100000000000001</v>
      </c>
      <c r="L14" s="15">
        <f>0.482+0.019</f>
        <v>0.501</v>
      </c>
      <c r="M14" s="15">
        <v>1000</v>
      </c>
      <c r="N14" s="15" t="s">
        <v>15</v>
      </c>
      <c r="O14" s="15" t="s">
        <v>15</v>
      </c>
      <c r="P14" s="15" t="s">
        <v>15</v>
      </c>
      <c r="Q14" s="15" t="s">
        <v>15</v>
      </c>
      <c r="R14" s="15" t="s">
        <v>15</v>
      </c>
      <c r="S14" s="15" t="s">
        <v>15</v>
      </c>
    </row>
    <row r="15" spans="1:19" ht="15.95" customHeight="1" x14ac:dyDescent="0.25">
      <c r="A15" s="13">
        <v>43831</v>
      </c>
      <c r="B15" s="16">
        <v>13.06</v>
      </c>
      <c r="C15" s="16">
        <f>0.907+0.018</f>
        <v>0.92500000000000004</v>
      </c>
      <c r="D15" s="16">
        <v>120</v>
      </c>
      <c r="E15" s="16">
        <v>24.6</v>
      </c>
      <c r="F15" s="16">
        <f>1.007+0.018</f>
        <v>1.0249999999999999</v>
      </c>
      <c r="G15" s="16">
        <f>0.869+0.018</f>
        <v>0.88700000000000001</v>
      </c>
      <c r="H15" s="16">
        <v>350</v>
      </c>
      <c r="I15" s="16">
        <v>76.88</v>
      </c>
      <c r="J15" s="16">
        <v>1.7809999999999999</v>
      </c>
      <c r="K15" s="16">
        <f>0.479+0.018</f>
        <v>0.497</v>
      </c>
      <c r="L15" s="16">
        <f>0.469+0.018</f>
        <v>0.48699999999999999</v>
      </c>
      <c r="M15" s="16">
        <v>1000</v>
      </c>
      <c r="N15" s="16" t="s">
        <v>15</v>
      </c>
      <c r="O15" s="16" t="s">
        <v>15</v>
      </c>
      <c r="P15" s="16" t="s">
        <v>15</v>
      </c>
      <c r="Q15" s="16" t="s">
        <v>15</v>
      </c>
      <c r="R15" s="16" t="s">
        <v>15</v>
      </c>
      <c r="S15" s="16" t="s">
        <v>15</v>
      </c>
    </row>
    <row r="16" spans="1:19" ht="15.95" customHeight="1" x14ac:dyDescent="0.25">
      <c r="A16" s="12">
        <v>43952</v>
      </c>
      <c r="B16" s="15">
        <v>13.06</v>
      </c>
      <c r="C16" s="15">
        <f>0.737+0.013</f>
        <v>0.75</v>
      </c>
      <c r="D16" s="15">
        <v>120</v>
      </c>
      <c r="E16" s="15">
        <v>24.6</v>
      </c>
      <c r="F16" s="15">
        <f>0.837+0.013</f>
        <v>0.85</v>
      </c>
      <c r="G16" s="15">
        <f>0.698+0.013</f>
        <v>0.71099999999999997</v>
      </c>
      <c r="H16" s="15">
        <v>350</v>
      </c>
      <c r="I16" s="15">
        <v>76.88</v>
      </c>
      <c r="J16" s="15">
        <v>1.579</v>
      </c>
      <c r="K16" s="15">
        <f>0.335+0.013</f>
        <v>0.34800000000000003</v>
      </c>
      <c r="L16" s="15">
        <f>0.326+0.013</f>
        <v>0.33900000000000002</v>
      </c>
      <c r="M16" s="15">
        <v>1000</v>
      </c>
      <c r="N16" s="15" t="s">
        <v>15</v>
      </c>
      <c r="O16" s="15" t="s">
        <v>15</v>
      </c>
      <c r="P16" s="15" t="s">
        <v>15</v>
      </c>
      <c r="Q16" s="15" t="s">
        <v>15</v>
      </c>
      <c r="R16" s="15" t="s">
        <v>15</v>
      </c>
      <c r="S16" s="15" t="s">
        <v>15</v>
      </c>
    </row>
    <row r="17" spans="1:19" ht="15.95" customHeight="1" x14ac:dyDescent="0.25">
      <c r="A17" s="13">
        <v>44013</v>
      </c>
      <c r="B17" s="16">
        <v>12.6</v>
      </c>
      <c r="C17" s="16">
        <f>0.76+0.012</f>
        <v>0.77200000000000002</v>
      </c>
      <c r="D17" s="16">
        <v>120</v>
      </c>
      <c r="E17" s="16">
        <v>23.73</v>
      </c>
      <c r="F17" s="16">
        <f>0.856+0.012</f>
        <v>0.86799999999999999</v>
      </c>
      <c r="G17" s="16">
        <f>0.723+0.012</f>
        <v>0.73499999999999999</v>
      </c>
      <c r="H17" s="16">
        <v>350</v>
      </c>
      <c r="I17" s="16">
        <v>74.14</v>
      </c>
      <c r="J17" s="16">
        <v>1.863</v>
      </c>
      <c r="K17" s="16">
        <f>0.328+0.012</f>
        <v>0.34</v>
      </c>
      <c r="L17" s="16">
        <f>0.319+0.012</f>
        <v>0.33100000000000002</v>
      </c>
      <c r="M17" s="16">
        <v>1000</v>
      </c>
      <c r="N17" s="16" t="s">
        <v>15</v>
      </c>
      <c r="O17" s="16" t="s">
        <v>15</v>
      </c>
      <c r="P17" s="16" t="s">
        <v>15</v>
      </c>
      <c r="Q17" s="16" t="s">
        <v>15</v>
      </c>
      <c r="R17" s="16" t="s">
        <v>15</v>
      </c>
      <c r="S17" s="16" t="s">
        <v>15</v>
      </c>
    </row>
    <row r="18" spans="1:19" ht="15.95" customHeight="1" x14ac:dyDescent="0.25">
      <c r="A18" s="23">
        <v>44105</v>
      </c>
      <c r="B18" s="24">
        <v>12.6</v>
      </c>
      <c r="C18" s="24">
        <f>0.8+0.003</f>
        <v>0.80300000000000005</v>
      </c>
      <c r="D18" s="24">
        <v>120</v>
      </c>
      <c r="E18" s="24">
        <v>23.73</v>
      </c>
      <c r="F18" s="24">
        <f>0.895+0.003</f>
        <v>0.89800000000000002</v>
      </c>
      <c r="G18" s="24">
        <f>0.763+0.003</f>
        <v>0.76600000000000001</v>
      </c>
      <c r="H18" s="24">
        <v>350</v>
      </c>
      <c r="I18" s="24">
        <v>74.14</v>
      </c>
      <c r="J18" s="24">
        <v>1.863</v>
      </c>
      <c r="K18" s="24">
        <f>0.368+0.003</f>
        <v>0.371</v>
      </c>
      <c r="L18" s="24">
        <f>0.359+0.003</f>
        <v>0.36199999999999999</v>
      </c>
      <c r="M18" s="24">
        <v>1000</v>
      </c>
      <c r="N18" s="24" t="s">
        <v>15</v>
      </c>
      <c r="O18" s="24" t="s">
        <v>15</v>
      </c>
      <c r="P18" s="24" t="s">
        <v>15</v>
      </c>
      <c r="Q18" s="24" t="s">
        <v>15</v>
      </c>
      <c r="R18" s="24" t="s">
        <v>15</v>
      </c>
      <c r="S18" s="24" t="s">
        <v>15</v>
      </c>
    </row>
    <row r="19" spans="1:19" ht="15.95" customHeight="1" x14ac:dyDescent="0.25">
      <c r="A19" s="13">
        <v>44197</v>
      </c>
      <c r="B19" s="16">
        <v>12.92</v>
      </c>
      <c r="C19" s="16">
        <f>0.876+0.007</f>
        <v>0.88300000000000001</v>
      </c>
      <c r="D19" s="16">
        <v>120</v>
      </c>
      <c r="E19" s="16">
        <v>24.33</v>
      </c>
      <c r="F19" s="16">
        <f>0.975+0.007</f>
        <v>0.98199999999999998</v>
      </c>
      <c r="G19" s="16">
        <f>0.838+0.007</f>
        <v>0.84499999999999997</v>
      </c>
      <c r="H19" s="16">
        <v>350</v>
      </c>
      <c r="I19" s="16">
        <v>76.02</v>
      </c>
      <c r="J19" s="16">
        <v>1.91</v>
      </c>
      <c r="K19" s="16">
        <f>0.433+0.007</f>
        <v>0.44</v>
      </c>
      <c r="L19" s="16">
        <f>0.424+0.007</f>
        <v>0.43099999999999999</v>
      </c>
      <c r="M19" s="16">
        <v>1000</v>
      </c>
      <c r="N19" s="16" t="s">
        <v>15</v>
      </c>
      <c r="O19" s="16" t="s">
        <v>15</v>
      </c>
      <c r="P19" s="16" t="s">
        <v>15</v>
      </c>
      <c r="Q19" s="16" t="s">
        <v>15</v>
      </c>
      <c r="R19" s="16" t="s">
        <v>15</v>
      </c>
      <c r="S19" s="16" t="s">
        <v>15</v>
      </c>
    </row>
    <row r="20" spans="1:19" ht="15.95" customHeight="1" x14ac:dyDescent="0.25">
      <c r="A20" s="23">
        <v>44317</v>
      </c>
      <c r="B20" s="24">
        <v>13.92</v>
      </c>
      <c r="C20" s="24">
        <f>0.876+0.007</f>
        <v>0.88300000000000001</v>
      </c>
      <c r="D20" s="24">
        <v>120</v>
      </c>
      <c r="E20" s="24">
        <v>24.33</v>
      </c>
      <c r="F20" s="24">
        <f>0.975+0.007</f>
        <v>0.98199999999999998</v>
      </c>
      <c r="G20" s="24">
        <f>0.838+0.007</f>
        <v>0.84499999999999997</v>
      </c>
      <c r="H20" s="24">
        <v>350</v>
      </c>
      <c r="I20" s="24">
        <v>76.02</v>
      </c>
      <c r="J20" s="24">
        <v>1.91</v>
      </c>
      <c r="K20" s="24">
        <f>0.433+0.007</f>
        <v>0.44</v>
      </c>
      <c r="L20" s="24">
        <f>0.424+0.007</f>
        <v>0.43099999999999999</v>
      </c>
      <c r="M20" s="24">
        <v>1000</v>
      </c>
      <c r="N20" s="24" t="s">
        <v>15</v>
      </c>
      <c r="O20" s="24" t="s">
        <v>15</v>
      </c>
      <c r="P20" s="24" t="s">
        <v>15</v>
      </c>
      <c r="Q20" s="24" t="s">
        <v>15</v>
      </c>
      <c r="R20" s="24" t="s">
        <v>15</v>
      </c>
      <c r="S20" s="24" t="s">
        <v>15</v>
      </c>
    </row>
    <row r="21" spans="1:19" ht="15.95" customHeight="1" x14ac:dyDescent="0.25">
      <c r="A21" s="21">
        <v>44378</v>
      </c>
      <c r="B21" s="22">
        <v>13.92</v>
      </c>
      <c r="C21" s="22">
        <f>0.995+0.026</f>
        <v>1.0209999999999999</v>
      </c>
      <c r="D21" s="22">
        <v>120</v>
      </c>
      <c r="E21" s="22">
        <v>26.22</v>
      </c>
      <c r="F21" s="22">
        <f>1.101+0.026</f>
        <v>1.127</v>
      </c>
      <c r="G21" s="22">
        <f>0.954+0.026</f>
        <v>0.98</v>
      </c>
      <c r="H21" s="22">
        <v>350</v>
      </c>
      <c r="I21" s="22">
        <v>81.92</v>
      </c>
      <c r="J21" s="22">
        <v>2.0579999999999998</v>
      </c>
      <c r="K21" s="22">
        <f>0.517+0.026</f>
        <v>0.54300000000000004</v>
      </c>
      <c r="L21" s="22">
        <f>0.507+0.026</f>
        <v>0.53300000000000003</v>
      </c>
      <c r="M21" s="22">
        <v>1000</v>
      </c>
      <c r="N21" s="22" t="s">
        <v>15</v>
      </c>
      <c r="O21" s="22" t="s">
        <v>15</v>
      </c>
      <c r="P21" s="22" t="s">
        <v>15</v>
      </c>
      <c r="Q21" s="22" t="s">
        <v>15</v>
      </c>
      <c r="R21" s="22" t="s">
        <v>15</v>
      </c>
      <c r="S21" s="22" t="s">
        <v>15</v>
      </c>
    </row>
    <row r="22" spans="1:19" ht="15.95" customHeight="1" x14ac:dyDescent="0.25">
      <c r="A22" s="23">
        <v>44470</v>
      </c>
      <c r="B22" s="24">
        <v>14.24</v>
      </c>
      <c r="C22" s="24">
        <f>1.08+0.026</f>
        <v>1.1060000000000001</v>
      </c>
      <c r="D22" s="24">
        <v>120</v>
      </c>
      <c r="E22" s="24">
        <v>26.82</v>
      </c>
      <c r="F22" s="24">
        <f>1.189+0.026</f>
        <v>1.2150000000000001</v>
      </c>
      <c r="G22" s="24">
        <f>1.039+0.026</f>
        <v>1.0649999999999999</v>
      </c>
      <c r="H22" s="24">
        <v>350</v>
      </c>
      <c r="I22" s="24">
        <v>83.79</v>
      </c>
      <c r="J22" s="24">
        <v>2.105</v>
      </c>
      <c r="K22" s="24">
        <f>0.592+0.026</f>
        <v>0.61799999999999999</v>
      </c>
      <c r="L22" s="24">
        <f>0.582+0.026</f>
        <v>0.60799999999999998</v>
      </c>
      <c r="M22" s="24">
        <v>1000</v>
      </c>
      <c r="N22" s="24" t="s">
        <v>15</v>
      </c>
      <c r="O22" s="24" t="s">
        <v>15</v>
      </c>
      <c r="P22" s="24" t="s">
        <v>15</v>
      </c>
      <c r="Q22" s="24" t="s">
        <v>15</v>
      </c>
      <c r="R22" s="24" t="s">
        <v>15</v>
      </c>
      <c r="S22" s="24" t="s">
        <v>15</v>
      </c>
    </row>
    <row r="23" spans="1:19" ht="15.95" customHeight="1" x14ac:dyDescent="0.25">
      <c r="A23" s="21">
        <v>44562</v>
      </c>
      <c r="B23" s="22">
        <v>15.06</v>
      </c>
      <c r="C23" s="22">
        <f>1.177+0.029</f>
        <v>1.206</v>
      </c>
      <c r="D23" s="22">
        <v>120</v>
      </c>
      <c r="E23" s="22">
        <v>28.37</v>
      </c>
      <c r="F23" s="22">
        <f>1.292+0.029</f>
        <v>1.321</v>
      </c>
      <c r="G23" s="22">
        <f>1.133+0.029</f>
        <v>1.1619999999999999</v>
      </c>
      <c r="H23" s="22">
        <v>350</v>
      </c>
      <c r="I23" s="22">
        <v>88.64</v>
      </c>
      <c r="J23" s="22">
        <v>2.2269999999999999</v>
      </c>
      <c r="K23" s="22">
        <f>0.66+0.029</f>
        <v>0.68900000000000006</v>
      </c>
      <c r="L23" s="22">
        <f>0.65+0.029</f>
        <v>0.67900000000000005</v>
      </c>
      <c r="M23" s="22">
        <v>1000</v>
      </c>
      <c r="N23" s="22" t="s">
        <v>15</v>
      </c>
      <c r="O23" s="22" t="s">
        <v>15</v>
      </c>
      <c r="P23" s="22" t="s">
        <v>15</v>
      </c>
      <c r="Q23" s="22" t="s">
        <v>15</v>
      </c>
      <c r="R23" s="22" t="s">
        <v>15</v>
      </c>
      <c r="S23" s="22" t="s">
        <v>15</v>
      </c>
    </row>
    <row r="24" spans="1:19" ht="15.95" customHeight="1" x14ac:dyDescent="0.25">
      <c r="A24" s="23">
        <v>44682</v>
      </c>
      <c r="B24" s="24">
        <v>15.06</v>
      </c>
      <c r="C24" s="24">
        <f>1.346+0.042</f>
        <v>1.3880000000000001</v>
      </c>
      <c r="D24" s="24">
        <v>120</v>
      </c>
      <c r="E24" s="24">
        <v>28.37</v>
      </c>
      <c r="F24" s="24">
        <f>1.462+0.042</f>
        <v>1.504</v>
      </c>
      <c r="G24" s="24">
        <f>1.302+0.042</f>
        <v>1.3440000000000001</v>
      </c>
      <c r="H24" s="24">
        <v>350</v>
      </c>
      <c r="I24" s="24">
        <v>88.64</v>
      </c>
      <c r="J24" s="24">
        <v>2.2269999999999999</v>
      </c>
      <c r="K24" s="24">
        <f>0.829+0.042</f>
        <v>0.871</v>
      </c>
      <c r="L24" s="24">
        <f>0.819+0.042</f>
        <v>0.86099999999999999</v>
      </c>
      <c r="M24" s="24">
        <v>1000</v>
      </c>
      <c r="N24" s="24" t="s">
        <v>15</v>
      </c>
      <c r="O24" s="24" t="s">
        <v>15</v>
      </c>
      <c r="P24" s="24" t="s">
        <v>15</v>
      </c>
      <c r="Q24" s="24" t="s">
        <v>15</v>
      </c>
      <c r="R24" s="24" t="s">
        <v>15</v>
      </c>
      <c r="S24" s="24" t="s">
        <v>15</v>
      </c>
    </row>
    <row r="25" spans="1:19" ht="15.95" customHeight="1" x14ac:dyDescent="0.25">
      <c r="A25" s="21">
        <v>44743</v>
      </c>
      <c r="B25" s="22">
        <v>17.010000000000002</v>
      </c>
      <c r="C25" s="22">
        <f>1.503+0.041</f>
        <v>1.5439999999999998</v>
      </c>
      <c r="D25" s="22">
        <v>120</v>
      </c>
      <c r="E25" s="22">
        <v>32.03</v>
      </c>
      <c r="F25" s="22">
        <f>1.633+0.041</f>
        <v>1.6739999999999999</v>
      </c>
      <c r="G25" s="22">
        <f>1.453+0.041</f>
        <v>1.494</v>
      </c>
      <c r="H25" s="22">
        <v>350</v>
      </c>
      <c r="I25" s="22">
        <v>100.07</v>
      </c>
      <c r="J25" s="22">
        <v>2.5139999999999998</v>
      </c>
      <c r="K25" s="22">
        <f>0.92+0.041</f>
        <v>0.96100000000000008</v>
      </c>
      <c r="L25" s="22">
        <f>0.908+0.041</f>
        <v>0.94900000000000007</v>
      </c>
      <c r="M25" s="22">
        <v>1000</v>
      </c>
      <c r="N25" s="22" t="s">
        <v>15</v>
      </c>
      <c r="O25" s="22" t="s">
        <v>15</v>
      </c>
      <c r="P25" s="22" t="s">
        <v>15</v>
      </c>
      <c r="Q25" s="22" t="s">
        <v>15</v>
      </c>
      <c r="R25" s="22" t="s">
        <v>15</v>
      </c>
      <c r="S25" s="22" t="s">
        <v>15</v>
      </c>
    </row>
    <row r="26" spans="1:19" ht="15.95" customHeight="1" x14ac:dyDescent="0.25">
      <c r="A26" s="23">
        <v>44835</v>
      </c>
      <c r="B26" s="24">
        <v>17.010000000000002</v>
      </c>
      <c r="C26" s="24">
        <f>1.589+0.035</f>
        <v>1.6239999999999999</v>
      </c>
      <c r="D26" s="24">
        <v>120</v>
      </c>
      <c r="E26" s="24">
        <v>32.03</v>
      </c>
      <c r="F26" s="24">
        <f>1.719+0.035</f>
        <v>1.754</v>
      </c>
      <c r="G26" s="24">
        <f>1.539+0.035</f>
        <v>1.5739999999999998</v>
      </c>
      <c r="H26" s="24">
        <v>350</v>
      </c>
      <c r="I26" s="24">
        <v>100.07</v>
      </c>
      <c r="J26" s="24">
        <v>2.5139999999999998</v>
      </c>
      <c r="K26" s="24">
        <f>1.006+0.035</f>
        <v>1.0409999999999999</v>
      </c>
      <c r="L26" s="24">
        <f>0.994+0.035</f>
        <v>1.0289999999999999</v>
      </c>
      <c r="M26" s="24">
        <v>1000</v>
      </c>
      <c r="N26" s="24" t="s">
        <v>15</v>
      </c>
      <c r="O26" s="24" t="s">
        <v>15</v>
      </c>
      <c r="P26" s="24" t="s">
        <v>15</v>
      </c>
      <c r="Q26" s="24" t="s">
        <v>15</v>
      </c>
      <c r="R26" s="24" t="s">
        <v>15</v>
      </c>
      <c r="S26" s="24" t="s">
        <v>15</v>
      </c>
    </row>
    <row r="27" spans="1:19" s="7" customFormat="1" ht="15.75" customHeight="1" x14ac:dyDescent="0.25">
      <c r="A27" s="20" t="s">
        <v>9</v>
      </c>
      <c r="B27" s="20"/>
      <c r="C27" s="20"/>
      <c r="D27" s="20"/>
      <c r="E27" s="20"/>
      <c r="F27" s="20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</row>
    <row r="28" spans="1:19" s="7" customFormat="1" ht="15.75" customHeight="1" x14ac:dyDescent="0.25">
      <c r="A28" s="20" t="s">
        <v>10</v>
      </c>
      <c r="B28" s="20"/>
      <c r="C28" s="20"/>
      <c r="D28" s="20"/>
      <c r="E28" s="20"/>
      <c r="F28" s="20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</row>
    <row r="29" spans="1:19" s="7" customFormat="1" ht="15.75" customHeight="1" x14ac:dyDescent="0.25">
      <c r="A29" s="20" t="s">
        <v>11</v>
      </c>
      <c r="B29" s="20"/>
      <c r="C29" s="20"/>
      <c r="D29" s="20"/>
      <c r="E29" s="20"/>
      <c r="F29" s="20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</row>
    <row r="30" spans="1:19" s="7" customFormat="1" ht="15.75" customHeight="1" x14ac:dyDescent="0.25">
      <c r="A30" s="20" t="s">
        <v>25</v>
      </c>
      <c r="B30" s="20"/>
      <c r="C30" s="20"/>
      <c r="D30" s="20"/>
      <c r="E30" s="20"/>
      <c r="F30" s="20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</row>
    <row r="31" spans="1:19" s="7" customFormat="1" ht="15.75" customHeight="1" x14ac:dyDescent="0.25">
      <c r="A31" s="20" t="s">
        <v>12</v>
      </c>
      <c r="B31" s="20"/>
      <c r="C31" s="20"/>
      <c r="D31" s="20"/>
      <c r="E31" s="20"/>
      <c r="F31" s="20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</row>
    <row r="32" spans="1:19" s="7" customFormat="1" ht="15.75" customHeight="1" x14ac:dyDescent="0.25">
      <c r="A32" s="20" t="s">
        <v>13</v>
      </c>
      <c r="B32" s="20"/>
      <c r="C32" s="20"/>
      <c r="D32" s="20"/>
      <c r="E32" s="20"/>
      <c r="F32" s="20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</row>
    <row r="33" spans="1:19" s="7" customFormat="1" ht="15.75" customHeight="1" x14ac:dyDescent="0.25">
      <c r="A33" s="20" t="s">
        <v>28</v>
      </c>
      <c r="B33" s="20"/>
      <c r="C33" s="20"/>
      <c r="D33" s="20"/>
      <c r="E33" s="20"/>
      <c r="F33" s="20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</row>
    <row r="34" spans="1:19" s="7" customFormat="1" ht="15.75" customHeight="1" x14ac:dyDescent="0.25">
      <c r="A34" s="20" t="s">
        <v>31</v>
      </c>
      <c r="B34" s="20"/>
      <c r="C34" s="20"/>
      <c r="D34" s="20"/>
      <c r="E34" s="20"/>
      <c r="F34" s="20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</row>
    <row r="35" spans="1:19" s="7" customFormat="1" ht="15.75" customHeight="1" x14ac:dyDescent="0.25">
      <c r="A35" s="20" t="s">
        <v>26</v>
      </c>
      <c r="B35" s="20"/>
      <c r="C35" s="20"/>
      <c r="D35" s="20"/>
      <c r="E35" s="20"/>
      <c r="F35" s="20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</row>
    <row r="36" spans="1:19" s="7" customFormat="1" ht="15.75" customHeight="1" x14ac:dyDescent="0.25">
      <c r="A36" s="20" t="s">
        <v>27</v>
      </c>
      <c r="B36" s="20"/>
      <c r="C36" s="20"/>
      <c r="D36" s="20"/>
      <c r="E36" s="20"/>
      <c r="F36" s="20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</row>
    <row r="37" spans="1:19" s="7" customFormat="1" ht="15.75" customHeight="1" x14ac:dyDescent="0.25">
      <c r="A37" s="20"/>
      <c r="B37" s="20"/>
      <c r="C37" s="20"/>
      <c r="D37" s="20"/>
      <c r="E37" s="20"/>
      <c r="F37" s="20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</row>
    <row r="38" spans="1:19" s="7" customFormat="1" ht="15.75" customHeight="1" x14ac:dyDescent="0.25">
      <c r="A38" s="20"/>
      <c r="B38" s="20"/>
      <c r="C38" s="20"/>
      <c r="D38" s="20"/>
      <c r="E38" s="20"/>
      <c r="F38" s="20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</row>
    <row r="39" spans="1:19" s="7" customFormat="1" ht="15.75" customHeight="1" x14ac:dyDescent="0.25">
      <c r="A39" s="20"/>
      <c r="B39" s="20"/>
      <c r="C39" s="20"/>
      <c r="D39" s="20"/>
      <c r="E39" s="20"/>
      <c r="F39" s="20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</row>
    <row r="40" spans="1:19" s="7" customFormat="1" ht="15.75" customHeight="1" x14ac:dyDescent="0.25">
      <c r="A40" s="20"/>
      <c r="B40" s="20"/>
      <c r="C40" s="20"/>
      <c r="D40" s="20"/>
      <c r="E40" s="20"/>
      <c r="F40" s="20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</row>
    <row r="41" spans="1:19" s="7" customFormat="1" ht="15.75" customHeight="1" x14ac:dyDescent="0.25">
      <c r="A41" s="20"/>
      <c r="B41" s="20"/>
      <c r="C41" s="20"/>
      <c r="D41" s="20"/>
      <c r="E41" s="20"/>
      <c r="F41" s="20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</row>
    <row r="42" spans="1:19" s="7" customFormat="1" ht="15.75" customHeight="1" x14ac:dyDescent="0.25">
      <c r="A42" s="20"/>
      <c r="B42" s="20"/>
      <c r="C42" s="20"/>
      <c r="D42" s="20"/>
      <c r="E42" s="20"/>
      <c r="F42" s="20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</row>
    <row r="43" spans="1:19" s="7" customFormat="1" ht="15.75" customHeight="1" x14ac:dyDescent="0.25">
      <c r="A43" s="20"/>
      <c r="B43" s="20"/>
      <c r="C43" s="20"/>
      <c r="D43" s="20"/>
      <c r="E43" s="20"/>
      <c r="F43" s="20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</row>
    <row r="44" spans="1:19" s="7" customFormat="1" ht="15.75" customHeight="1" x14ac:dyDescent="0.25">
      <c r="A44" s="20"/>
      <c r="B44" s="20"/>
      <c r="C44" s="20"/>
      <c r="D44" s="20"/>
      <c r="E44" s="20"/>
      <c r="F44" s="20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</row>
    <row r="45" spans="1:19" s="7" customFormat="1" ht="15.75" customHeight="1" x14ac:dyDescent="0.25">
      <c r="A45" s="20"/>
      <c r="B45" s="20"/>
      <c r="C45" s="20"/>
      <c r="D45" s="20"/>
      <c r="E45" s="20"/>
      <c r="F45" s="20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</row>
    <row r="46" spans="1:19" s="7" customFormat="1" ht="15.75" customHeight="1" x14ac:dyDescent="0.25">
      <c r="A46" s="20"/>
      <c r="B46" s="20"/>
      <c r="C46" s="20"/>
      <c r="D46" s="20"/>
      <c r="E46" s="20"/>
      <c r="F46" s="20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</row>
    <row r="47" spans="1:19" s="7" customFormat="1" ht="15.75" customHeight="1" x14ac:dyDescent="0.25">
      <c r="A47" s="20"/>
      <c r="B47" s="20"/>
      <c r="C47" s="20"/>
      <c r="D47" s="20"/>
      <c r="E47" s="20"/>
      <c r="F47" s="20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</row>
    <row r="48" spans="1:19" s="7" customFormat="1" ht="15.75" customHeight="1" x14ac:dyDescent="0.25">
      <c r="A48" s="20"/>
      <c r="B48" s="20"/>
      <c r="C48" s="20"/>
      <c r="D48" s="20"/>
      <c r="E48" s="20"/>
      <c r="F48" s="20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</row>
    <row r="49" spans="1:19" s="7" customFormat="1" ht="15.75" customHeight="1" x14ac:dyDescent="0.25">
      <c r="A49" s="20"/>
      <c r="B49" s="20"/>
      <c r="C49" s="20"/>
      <c r="D49" s="20"/>
      <c r="E49" s="20"/>
      <c r="F49" s="20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</row>
    <row r="50" spans="1:19" s="7" customFormat="1" ht="15.75" customHeight="1" x14ac:dyDescent="0.25">
      <c r="A50" s="20"/>
      <c r="B50" s="20"/>
      <c r="C50" s="20"/>
      <c r="D50" s="20"/>
      <c r="E50" s="20"/>
      <c r="F50" s="20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</row>
    <row r="51" spans="1:19" s="7" customFormat="1" ht="15.75" customHeight="1" x14ac:dyDescent="0.25">
      <c r="A51" s="20"/>
      <c r="B51" s="20"/>
      <c r="C51" s="20"/>
      <c r="D51" s="20"/>
      <c r="E51" s="20"/>
      <c r="F51" s="20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</row>
    <row r="52" spans="1:19" s="7" customFormat="1" ht="15.75" customHeight="1" x14ac:dyDescent="0.25">
      <c r="A52" s="20"/>
      <c r="B52" s="20"/>
      <c r="C52" s="20"/>
      <c r="D52" s="20"/>
      <c r="E52" s="20"/>
      <c r="F52" s="20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</row>
    <row r="53" spans="1:19" s="7" customFormat="1" ht="15.75" customHeight="1" x14ac:dyDescent="0.25">
      <c r="A53" s="20"/>
      <c r="B53" s="20"/>
      <c r="C53" s="20"/>
      <c r="D53" s="20"/>
      <c r="E53" s="20"/>
      <c r="F53" s="20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</row>
    <row r="54" spans="1:19" s="7" customFormat="1" ht="15.75" customHeight="1" x14ac:dyDescent="0.25">
      <c r="A54" s="20"/>
      <c r="B54" s="20"/>
      <c r="C54" s="20"/>
      <c r="D54" s="20"/>
      <c r="E54" s="20"/>
      <c r="F54" s="20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</row>
    <row r="55" spans="1:19" s="7" customFormat="1" ht="15.75" customHeight="1" x14ac:dyDescent="0.25">
      <c r="A55" s="20"/>
      <c r="B55" s="20"/>
      <c r="C55" s="20"/>
      <c r="D55" s="20"/>
      <c r="E55" s="20"/>
      <c r="F55" s="20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</row>
    <row r="56" spans="1:19" s="7" customFormat="1" ht="15.75" customHeight="1" x14ac:dyDescent="0.25">
      <c r="A56" s="20"/>
      <c r="B56" s="20"/>
      <c r="C56" s="20"/>
      <c r="D56" s="20"/>
      <c r="E56" s="20"/>
      <c r="F56" s="20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</row>
    <row r="57" spans="1:19" s="7" customFormat="1" ht="15.75" customHeight="1" x14ac:dyDescent="0.25">
      <c r="A57" s="20"/>
      <c r="B57" s="20"/>
      <c r="C57" s="20"/>
      <c r="D57" s="20"/>
      <c r="E57" s="20"/>
      <c r="F57" s="20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</row>
    <row r="58" spans="1:19" s="7" customFormat="1" ht="15.75" customHeight="1" x14ac:dyDescent="0.25">
      <c r="A58" s="20"/>
      <c r="B58" s="20"/>
      <c r="C58" s="20"/>
      <c r="D58" s="20"/>
      <c r="E58" s="20"/>
      <c r="F58" s="20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</row>
    <row r="59" spans="1:19" s="7" customFormat="1" ht="15.75" customHeight="1" x14ac:dyDescent="0.25">
      <c r="A59" s="20"/>
      <c r="B59" s="20"/>
      <c r="C59" s="20"/>
      <c r="D59" s="20"/>
      <c r="E59" s="20"/>
      <c r="F59" s="20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</row>
    <row r="60" spans="1:19" s="7" customFormat="1" ht="15.75" customHeight="1" x14ac:dyDescent="0.25">
      <c r="A60" s="20"/>
      <c r="B60" s="20"/>
      <c r="C60" s="20"/>
      <c r="D60" s="20"/>
      <c r="E60" s="20"/>
      <c r="F60" s="20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</row>
    <row r="61" spans="1:19" s="7" customFormat="1" ht="15.75" customHeight="1" x14ac:dyDescent="0.25">
      <c r="A61" s="20"/>
      <c r="B61" s="20"/>
      <c r="C61" s="20"/>
      <c r="D61" s="20"/>
      <c r="E61" s="20"/>
      <c r="F61" s="20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</row>
    <row r="62" spans="1:19" s="7" customFormat="1" ht="15.75" customHeight="1" x14ac:dyDescent="0.25">
      <c r="A62" s="20"/>
      <c r="B62" s="20"/>
      <c r="C62" s="20"/>
      <c r="D62" s="20"/>
      <c r="E62" s="20"/>
      <c r="F62" s="20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</row>
    <row r="63" spans="1:19" s="7" customFormat="1" ht="15.75" customHeight="1" x14ac:dyDescent="0.25">
      <c r="A63" s="20"/>
      <c r="B63" s="20"/>
      <c r="C63" s="20"/>
      <c r="D63" s="20"/>
      <c r="E63" s="20"/>
      <c r="F63" s="20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</row>
    <row r="64" spans="1:19" s="7" customFormat="1" ht="15.75" customHeight="1" x14ac:dyDescent="0.25">
      <c r="A64" s="20"/>
      <c r="B64" s="20"/>
      <c r="C64" s="20"/>
      <c r="D64" s="20"/>
      <c r="E64" s="20"/>
      <c r="F64" s="20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</row>
    <row r="65" spans="1:19" s="7" customFormat="1" ht="15.75" customHeight="1" x14ac:dyDescent="0.25">
      <c r="A65" s="20"/>
      <c r="B65" s="20"/>
      <c r="C65" s="20"/>
      <c r="D65" s="20"/>
      <c r="E65" s="20"/>
      <c r="F65" s="20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</row>
    <row r="66" spans="1:19" s="7" customFormat="1" ht="15.75" customHeight="1" x14ac:dyDescent="0.25">
      <c r="A66" s="20"/>
      <c r="B66" s="20"/>
      <c r="C66" s="20"/>
      <c r="D66" s="20"/>
      <c r="E66" s="20"/>
      <c r="F66" s="20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</row>
    <row r="67" spans="1:19" s="7" customFormat="1" ht="15.75" customHeight="1" x14ac:dyDescent="0.25">
      <c r="A67" s="20"/>
      <c r="B67" s="20"/>
      <c r="C67" s="20"/>
      <c r="D67" s="20"/>
      <c r="E67" s="20"/>
      <c r="F67" s="20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</row>
    <row r="68" spans="1:19" s="7" customFormat="1" ht="15.75" customHeight="1" x14ac:dyDescent="0.25">
      <c r="A68" s="20"/>
      <c r="B68" s="20"/>
      <c r="C68" s="20"/>
      <c r="D68" s="20"/>
      <c r="E68" s="20"/>
      <c r="F68" s="20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</row>
    <row r="69" spans="1:19" s="7" customFormat="1" ht="15.75" customHeight="1" x14ac:dyDescent="0.25">
      <c r="A69" s="20"/>
      <c r="B69" s="20"/>
      <c r="C69" s="20"/>
      <c r="D69" s="20"/>
      <c r="E69" s="20"/>
      <c r="F69" s="20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</row>
    <row r="70" spans="1:19" s="7" customFormat="1" ht="15.75" customHeight="1" x14ac:dyDescent="0.25">
      <c r="A70" s="20"/>
      <c r="B70" s="20"/>
      <c r="C70" s="20"/>
      <c r="D70" s="20"/>
      <c r="E70" s="20"/>
      <c r="F70" s="20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</row>
    <row r="71" spans="1:19" s="7" customFormat="1" ht="15.75" customHeight="1" x14ac:dyDescent="0.25">
      <c r="A71" s="20"/>
      <c r="B71" s="20"/>
      <c r="C71" s="20"/>
      <c r="D71" s="20"/>
      <c r="E71" s="20"/>
      <c r="F71" s="20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</row>
    <row r="72" spans="1:19" s="7" customFormat="1" ht="15.75" customHeight="1" x14ac:dyDescent="0.25">
      <c r="A72" s="20"/>
      <c r="B72" s="20"/>
      <c r="C72" s="20"/>
      <c r="D72" s="20"/>
      <c r="E72" s="20"/>
      <c r="F72" s="20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</row>
    <row r="73" spans="1:19" s="7" customFormat="1" ht="15.75" customHeight="1" x14ac:dyDescent="0.25">
      <c r="A73" s="20"/>
      <c r="B73" s="20"/>
      <c r="C73" s="20"/>
      <c r="D73" s="20"/>
      <c r="E73" s="20"/>
      <c r="F73" s="20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</row>
    <row r="74" spans="1:19" s="7" customFormat="1" ht="15.75" customHeight="1" x14ac:dyDescent="0.25">
      <c r="A74" s="20"/>
      <c r="B74" s="20"/>
      <c r="C74" s="20"/>
      <c r="D74" s="20"/>
      <c r="E74" s="20"/>
      <c r="F74" s="20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</row>
    <row r="75" spans="1:19" s="7" customFormat="1" ht="15.75" customHeight="1" x14ac:dyDescent="0.25">
      <c r="A75" s="20"/>
      <c r="B75" s="20"/>
      <c r="C75" s="20"/>
      <c r="D75" s="20"/>
      <c r="E75" s="20"/>
      <c r="F75" s="20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</row>
    <row r="76" spans="1:19" s="7" customFormat="1" ht="15.75" customHeight="1" x14ac:dyDescent="0.25">
      <c r="A76" s="20"/>
      <c r="B76" s="20"/>
      <c r="C76" s="20"/>
      <c r="D76" s="20"/>
      <c r="E76" s="20"/>
      <c r="F76" s="20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</row>
    <row r="77" spans="1:19" s="7" customFormat="1" ht="15.75" customHeight="1" x14ac:dyDescent="0.25">
      <c r="A77" s="20"/>
      <c r="B77" s="20"/>
      <c r="C77" s="20"/>
      <c r="D77" s="20"/>
      <c r="E77" s="20"/>
      <c r="F77" s="20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</row>
    <row r="78" spans="1:19" s="7" customFormat="1" ht="15.75" customHeight="1" x14ac:dyDescent="0.25">
      <c r="A78" s="20"/>
      <c r="B78" s="20"/>
      <c r="C78" s="20"/>
      <c r="D78" s="20"/>
      <c r="E78" s="20"/>
      <c r="F78" s="20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</row>
  </sheetData>
  <mergeCells count="6">
    <mergeCell ref="Q4:S4"/>
    <mergeCell ref="A4:A5"/>
    <mergeCell ref="B4:D4"/>
    <mergeCell ref="E4:H4"/>
    <mergeCell ref="I4:M4"/>
    <mergeCell ref="N4:P4"/>
  </mergeCells>
  <printOptions horizontalCentered="1" verticalCentered="1"/>
  <pageMargins left="3.937007874015748E-2" right="3.937007874015748E-2" top="0.35433070866141736" bottom="0.35433070866141736" header="0.11811023622047245" footer="0.11811023622047245"/>
  <pageSetup paperSize="9" scale="53" firstPageNumber="0" orientation="landscape" horizontalDpi="300" verticalDpi="300" r:id="rId1"/>
  <customProperties>
    <customPr name="GUID" r:id="rId2"/>
  </customProperties>
  <ignoredErrors>
    <ignoredError sqref="C23:L23 D24 H25 H24" formula="1"/>
  </ignoredError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65"/>
  <sheetViews>
    <sheetView topLeftCell="A40" zoomScale="80" zoomScaleNormal="80" workbookViewId="0">
      <selection activeCell="A61" sqref="A61"/>
    </sheetView>
  </sheetViews>
  <sheetFormatPr baseColWidth="10" defaultColWidth="9.140625" defaultRowHeight="15" x14ac:dyDescent="0.25"/>
  <cols>
    <col min="1" max="1" width="14.5703125" style="14" customWidth="1"/>
    <col min="2" max="1024" width="10.7109375" style="14" customWidth="1"/>
    <col min="1025" max="16384" width="9.140625" style="14"/>
  </cols>
  <sheetData>
    <row r="1" spans="1:19" ht="23.25" x14ac:dyDescent="0.35">
      <c r="B1" s="10" t="s">
        <v>18</v>
      </c>
      <c r="C1" s="10"/>
      <c r="D1" s="10"/>
      <c r="E1" s="8"/>
      <c r="G1" s="2"/>
      <c r="H1" s="2"/>
      <c r="I1" s="2"/>
      <c r="O1" s="2"/>
      <c r="P1" s="2"/>
      <c r="Q1" s="2"/>
      <c r="R1" s="2"/>
      <c r="S1" s="2"/>
    </row>
    <row r="2" spans="1:19" ht="15.75" x14ac:dyDescent="0.25">
      <c r="B2" s="18" t="s">
        <v>17</v>
      </c>
      <c r="C2" s="11"/>
      <c r="D2" s="11"/>
      <c r="E2" s="9"/>
      <c r="G2" s="2"/>
      <c r="H2" s="2"/>
      <c r="I2" s="2"/>
      <c r="O2" s="2"/>
      <c r="P2" s="2"/>
      <c r="Q2" s="2"/>
      <c r="R2" s="2"/>
      <c r="S2" s="2"/>
    </row>
    <row r="3" spans="1:19" ht="15.75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20.25" customHeight="1" x14ac:dyDescent="0.25">
      <c r="A4" s="28" t="s">
        <v>0</v>
      </c>
      <c r="B4" s="25" t="s">
        <v>1</v>
      </c>
      <c r="C4" s="26"/>
      <c r="D4" s="27"/>
      <c r="E4" s="25" t="s">
        <v>2</v>
      </c>
      <c r="F4" s="26"/>
      <c r="G4" s="26"/>
      <c r="H4" s="27"/>
      <c r="I4" s="25" t="s">
        <v>14</v>
      </c>
      <c r="J4" s="26"/>
      <c r="K4" s="26"/>
      <c r="L4" s="26"/>
      <c r="M4" s="27"/>
      <c r="N4" s="25" t="s">
        <v>29</v>
      </c>
      <c r="O4" s="26"/>
      <c r="P4" s="27"/>
      <c r="Q4" s="25" t="s">
        <v>30</v>
      </c>
      <c r="R4" s="26"/>
      <c r="S4" s="27"/>
    </row>
    <row r="5" spans="1:19" ht="51" x14ac:dyDescent="0.25">
      <c r="A5" s="28"/>
      <c r="B5" s="17" t="s">
        <v>3</v>
      </c>
      <c r="C5" s="17" t="s">
        <v>4</v>
      </c>
      <c r="D5" s="17" t="s">
        <v>5</v>
      </c>
      <c r="E5" s="17" t="s">
        <v>6</v>
      </c>
      <c r="F5" s="17" t="s">
        <v>19</v>
      </c>
      <c r="G5" s="17" t="s">
        <v>20</v>
      </c>
      <c r="H5" s="17" t="s">
        <v>5</v>
      </c>
      <c r="I5" s="17" t="s">
        <v>6</v>
      </c>
      <c r="J5" s="17" t="s">
        <v>7</v>
      </c>
      <c r="K5" s="17" t="s">
        <v>21</v>
      </c>
      <c r="L5" s="17" t="s">
        <v>22</v>
      </c>
      <c r="M5" s="17" t="s">
        <v>5</v>
      </c>
      <c r="N5" s="17" t="s">
        <v>8</v>
      </c>
      <c r="O5" s="17" t="s">
        <v>7</v>
      </c>
      <c r="P5" s="17" t="s">
        <v>4</v>
      </c>
      <c r="Q5" s="17" t="s">
        <v>8</v>
      </c>
      <c r="R5" s="17" t="s">
        <v>7</v>
      </c>
      <c r="S5" s="17" t="s">
        <v>4</v>
      </c>
    </row>
    <row r="6" spans="1:19" x14ac:dyDescent="0.25">
      <c r="A6" s="12">
        <v>39448</v>
      </c>
      <c r="B6" s="15">
        <v>11.14</v>
      </c>
      <c r="C6" s="15">
        <v>0.61199999999999999</v>
      </c>
      <c r="D6" s="15">
        <v>120</v>
      </c>
      <c r="E6" s="15">
        <v>20.97</v>
      </c>
      <c r="F6" s="15">
        <v>0.69699999999999995</v>
      </c>
      <c r="G6" s="15">
        <v>0.57899999999999996</v>
      </c>
      <c r="H6" s="15">
        <v>350</v>
      </c>
      <c r="I6" s="15">
        <v>65.540000000000006</v>
      </c>
      <c r="J6" s="15">
        <v>1.917</v>
      </c>
      <c r="K6" s="15">
        <v>0.22800000000000001</v>
      </c>
      <c r="L6" s="15">
        <v>0.22</v>
      </c>
      <c r="M6" s="15">
        <v>1000</v>
      </c>
      <c r="N6" s="15">
        <v>131.07</v>
      </c>
      <c r="O6" s="15">
        <v>1.8260000000000001</v>
      </c>
      <c r="P6" s="15">
        <v>0.20399999999999999</v>
      </c>
      <c r="Q6" s="15">
        <v>131.07</v>
      </c>
      <c r="R6" s="15">
        <v>1.76</v>
      </c>
      <c r="S6" s="15">
        <v>0.193</v>
      </c>
    </row>
    <row r="7" spans="1:19" x14ac:dyDescent="0.25">
      <c r="A7" s="13">
        <v>39569</v>
      </c>
      <c r="B7" s="16">
        <v>11.14</v>
      </c>
      <c r="C7" s="16">
        <v>0.77600000000000002</v>
      </c>
      <c r="D7" s="16">
        <v>120</v>
      </c>
      <c r="E7" s="16">
        <v>20.97</v>
      </c>
      <c r="F7" s="16">
        <v>0.86199999999999999</v>
      </c>
      <c r="G7" s="16">
        <v>0.74399999999999999</v>
      </c>
      <c r="H7" s="16">
        <v>350</v>
      </c>
      <c r="I7" s="16">
        <v>65.540000000000006</v>
      </c>
      <c r="J7" s="16">
        <v>1.9570000000000001</v>
      </c>
      <c r="K7" s="16">
        <v>0.39400000000000002</v>
      </c>
      <c r="L7" s="16">
        <v>0.38600000000000001</v>
      </c>
      <c r="M7" s="16">
        <v>1000</v>
      </c>
      <c r="N7" s="16">
        <v>131.07</v>
      </c>
      <c r="O7" s="16">
        <v>1.8260000000000001</v>
      </c>
      <c r="P7" s="16">
        <v>0.37</v>
      </c>
      <c r="Q7" s="16">
        <v>131.07</v>
      </c>
      <c r="R7" s="16">
        <v>1.76</v>
      </c>
      <c r="S7" s="16">
        <v>0.35899999999999999</v>
      </c>
    </row>
    <row r="8" spans="1:19" x14ac:dyDescent="0.25">
      <c r="A8" s="12">
        <v>39630</v>
      </c>
      <c r="B8" s="15">
        <v>11.89</v>
      </c>
      <c r="C8" s="15">
        <v>0.88400000000000001</v>
      </c>
      <c r="D8" s="15">
        <v>120</v>
      </c>
      <c r="E8" s="15">
        <v>22.4</v>
      </c>
      <c r="F8" s="15">
        <v>0.96699999999999997</v>
      </c>
      <c r="G8" s="15">
        <v>0.84099999999999997</v>
      </c>
      <c r="H8" s="15">
        <v>350</v>
      </c>
      <c r="I8" s="15">
        <v>69.989999999999995</v>
      </c>
      <c r="J8" s="15">
        <v>2.04</v>
      </c>
      <c r="K8" s="15">
        <v>0.42599999999999999</v>
      </c>
      <c r="L8" s="15">
        <v>0.41799999999999998</v>
      </c>
      <c r="M8" s="15">
        <v>1000</v>
      </c>
      <c r="N8" s="15">
        <v>139.97</v>
      </c>
      <c r="O8" s="15">
        <v>1.9</v>
      </c>
      <c r="P8" s="15">
        <v>0.4</v>
      </c>
      <c r="Q8" s="15">
        <v>139.97</v>
      </c>
      <c r="R8" s="15">
        <v>1.829</v>
      </c>
      <c r="S8" s="15">
        <v>0.38800000000000001</v>
      </c>
    </row>
    <row r="9" spans="1:19" x14ac:dyDescent="0.25">
      <c r="A9" s="13">
        <v>39661</v>
      </c>
      <c r="B9" s="16">
        <v>11.89</v>
      </c>
      <c r="C9" s="16">
        <v>1.2450000000000001</v>
      </c>
      <c r="D9" s="16">
        <v>120</v>
      </c>
      <c r="E9" s="16">
        <v>22.4</v>
      </c>
      <c r="F9" s="16">
        <v>1.327</v>
      </c>
      <c r="G9" s="16">
        <v>1.2010000000000001</v>
      </c>
      <c r="H9" s="16">
        <v>350</v>
      </c>
      <c r="I9" s="16">
        <v>69.989999999999995</v>
      </c>
      <c r="J9" s="16">
        <v>2.04</v>
      </c>
      <c r="K9" s="16">
        <v>0.78600000000000003</v>
      </c>
      <c r="L9" s="16">
        <v>0.77700000000000002</v>
      </c>
      <c r="M9" s="16">
        <v>1000</v>
      </c>
      <c r="N9" s="16">
        <v>139.97</v>
      </c>
      <c r="O9" s="16">
        <v>1.9</v>
      </c>
      <c r="P9" s="16">
        <v>0.76</v>
      </c>
      <c r="Q9" s="16">
        <v>139.97</v>
      </c>
      <c r="R9" s="16">
        <v>1.829</v>
      </c>
      <c r="S9" s="16">
        <v>0.748</v>
      </c>
    </row>
    <row r="10" spans="1:19" x14ac:dyDescent="0.25">
      <c r="A10" s="12">
        <v>39722</v>
      </c>
      <c r="B10" s="15">
        <v>11.89</v>
      </c>
      <c r="C10" s="15">
        <v>1.2490000000000001</v>
      </c>
      <c r="D10" s="15">
        <v>120</v>
      </c>
      <c r="E10" s="15">
        <v>22.4</v>
      </c>
      <c r="F10" s="15">
        <v>1.331</v>
      </c>
      <c r="G10" s="15">
        <v>1.2050000000000001</v>
      </c>
      <c r="H10" s="15">
        <v>350</v>
      </c>
      <c r="I10" s="15">
        <v>69.989999999999995</v>
      </c>
      <c r="J10" s="15">
        <v>2.04</v>
      </c>
      <c r="K10" s="15">
        <v>0.80200000000000005</v>
      </c>
      <c r="L10" s="15">
        <v>0.79400000000000004</v>
      </c>
      <c r="M10" s="15">
        <v>1000</v>
      </c>
      <c r="N10" s="15"/>
      <c r="O10" s="15"/>
      <c r="P10" s="15"/>
      <c r="Q10" s="15"/>
      <c r="R10" s="15"/>
      <c r="S10" s="15"/>
    </row>
    <row r="11" spans="1:19" x14ac:dyDescent="0.25">
      <c r="A11" s="13">
        <v>39783</v>
      </c>
      <c r="B11" s="16">
        <v>11.89</v>
      </c>
      <c r="C11" s="16">
        <v>0.98199999999999998</v>
      </c>
      <c r="D11" s="16">
        <v>120</v>
      </c>
      <c r="E11" s="16">
        <v>22.4</v>
      </c>
      <c r="F11" s="16">
        <v>1.0640000000000001</v>
      </c>
      <c r="G11" s="16">
        <v>0.93799999999999994</v>
      </c>
      <c r="H11" s="16">
        <v>350</v>
      </c>
      <c r="I11" s="16">
        <v>69.989999999999995</v>
      </c>
      <c r="J11" s="16">
        <v>2.04</v>
      </c>
      <c r="K11" s="16">
        <v>0.52200000000000002</v>
      </c>
      <c r="L11" s="16">
        <v>0.51400000000000001</v>
      </c>
      <c r="M11" s="16">
        <v>1000</v>
      </c>
      <c r="N11" s="16">
        <v>139.97</v>
      </c>
      <c r="O11" s="16">
        <v>1.9</v>
      </c>
      <c r="P11" s="16">
        <v>0.496</v>
      </c>
      <c r="Q11" s="16">
        <v>139.97</v>
      </c>
      <c r="R11" s="16">
        <v>1.829</v>
      </c>
      <c r="S11" s="16">
        <v>0.48499999999999999</v>
      </c>
    </row>
    <row r="12" spans="1:19" x14ac:dyDescent="0.25">
      <c r="A12" s="12">
        <v>39814</v>
      </c>
      <c r="B12" s="15">
        <v>11.24</v>
      </c>
      <c r="C12" s="15">
        <v>0.91100000000000003</v>
      </c>
      <c r="D12" s="15">
        <v>120</v>
      </c>
      <c r="E12" s="15">
        <v>21.17</v>
      </c>
      <c r="F12" s="15">
        <v>0.997</v>
      </c>
      <c r="G12" s="15">
        <v>0.878</v>
      </c>
      <c r="H12" s="15">
        <v>350</v>
      </c>
      <c r="I12" s="15">
        <v>66.16</v>
      </c>
      <c r="J12" s="15">
        <v>1.9710000000000001</v>
      </c>
      <c r="K12" s="15">
        <v>0.51900000000000002</v>
      </c>
      <c r="L12" s="15">
        <v>0.51100000000000001</v>
      </c>
      <c r="M12" s="15">
        <v>1000</v>
      </c>
      <c r="N12" s="15">
        <v>132.32</v>
      </c>
      <c r="O12" s="15">
        <v>1.839</v>
      </c>
      <c r="P12" s="15">
        <v>0.49399999999999999</v>
      </c>
      <c r="Q12" s="15">
        <v>132.32</v>
      </c>
      <c r="R12" s="15">
        <v>1.772</v>
      </c>
      <c r="S12" s="15">
        <v>0.48299999999999998</v>
      </c>
    </row>
    <row r="13" spans="1:19" x14ac:dyDescent="0.25">
      <c r="A13" s="13">
        <v>39873</v>
      </c>
      <c r="B13" s="16">
        <v>11.24</v>
      </c>
      <c r="C13" s="16">
        <v>0.81299999999999994</v>
      </c>
      <c r="D13" s="16">
        <v>120</v>
      </c>
      <c r="E13" s="16">
        <v>21.17</v>
      </c>
      <c r="F13" s="16">
        <v>0.89900000000000002</v>
      </c>
      <c r="G13" s="16">
        <v>0.78</v>
      </c>
      <c r="H13" s="16">
        <v>350</v>
      </c>
      <c r="I13" s="16">
        <v>66.16</v>
      </c>
      <c r="J13" s="16">
        <v>1.97</v>
      </c>
      <c r="K13" s="16">
        <v>0.42299999999999999</v>
      </c>
      <c r="L13" s="16">
        <v>0.41499999999999998</v>
      </c>
      <c r="M13" s="16">
        <v>1000</v>
      </c>
      <c r="N13" s="16">
        <v>132.32</v>
      </c>
      <c r="O13" s="16">
        <v>1.8380000000000001</v>
      </c>
      <c r="P13" s="16">
        <v>0.39800000000000002</v>
      </c>
      <c r="Q13" s="16">
        <v>132.32</v>
      </c>
      <c r="R13" s="16">
        <v>1.7709999999999999</v>
      </c>
      <c r="S13" s="16">
        <v>0.38700000000000001</v>
      </c>
    </row>
    <row r="14" spans="1:19" x14ac:dyDescent="0.25">
      <c r="A14" s="12">
        <v>39934</v>
      </c>
      <c r="B14" s="15">
        <v>11.24</v>
      </c>
      <c r="C14" s="15">
        <v>0.69399999999999995</v>
      </c>
      <c r="D14" s="15">
        <v>120</v>
      </c>
      <c r="E14" s="15">
        <v>21.17</v>
      </c>
      <c r="F14" s="15">
        <v>0.78</v>
      </c>
      <c r="G14" s="15">
        <v>0.66100000000000003</v>
      </c>
      <c r="H14" s="15">
        <v>350</v>
      </c>
      <c r="I14" s="15">
        <v>66.16</v>
      </c>
      <c r="J14" s="15">
        <v>1.97</v>
      </c>
      <c r="K14" s="15">
        <v>0.30299999999999999</v>
      </c>
      <c r="L14" s="15">
        <v>0.29599999999999999</v>
      </c>
      <c r="M14" s="15">
        <v>1000</v>
      </c>
      <c r="N14" s="15">
        <v>132.32</v>
      </c>
      <c r="O14" s="15">
        <v>1.8380000000000001</v>
      </c>
      <c r="P14" s="15">
        <v>0.39800000000000002</v>
      </c>
      <c r="Q14" s="15">
        <v>132.32</v>
      </c>
      <c r="R14" s="15">
        <v>1.7709999999999999</v>
      </c>
      <c r="S14" s="15">
        <v>0.38700000000000001</v>
      </c>
    </row>
    <row r="15" spans="1:19" x14ac:dyDescent="0.25">
      <c r="A15" s="13">
        <v>39965</v>
      </c>
      <c r="B15" s="16">
        <v>11.24</v>
      </c>
      <c r="C15" s="16">
        <v>0.78300000000000003</v>
      </c>
      <c r="D15" s="16">
        <v>120</v>
      </c>
      <c r="E15" s="16">
        <v>21.17</v>
      </c>
      <c r="F15" s="16">
        <v>0.86899999999999999</v>
      </c>
      <c r="G15" s="16">
        <v>0.75</v>
      </c>
      <c r="H15" s="16">
        <v>350</v>
      </c>
      <c r="I15" s="16">
        <v>66.16</v>
      </c>
      <c r="J15" s="16">
        <v>1.97</v>
      </c>
      <c r="K15" s="16">
        <v>0.39200000000000002</v>
      </c>
      <c r="L15" s="16">
        <v>0.38500000000000001</v>
      </c>
      <c r="M15" s="16">
        <v>1000</v>
      </c>
      <c r="N15" s="16">
        <v>132.32</v>
      </c>
      <c r="O15" s="16">
        <v>1.8380000000000001</v>
      </c>
      <c r="P15" s="16">
        <v>0.36799999999999999</v>
      </c>
      <c r="Q15" s="16">
        <v>132.32</v>
      </c>
      <c r="R15" s="16">
        <v>1.7709999999999999</v>
      </c>
      <c r="S15" s="16">
        <v>0.35699999999999998</v>
      </c>
    </row>
    <row r="16" spans="1:19" x14ac:dyDescent="0.25">
      <c r="A16" s="12">
        <v>39995</v>
      </c>
      <c r="B16" s="15">
        <v>10.98</v>
      </c>
      <c r="C16" s="15">
        <v>0.83</v>
      </c>
      <c r="D16" s="15">
        <v>120</v>
      </c>
      <c r="E16" s="15">
        <v>20.69</v>
      </c>
      <c r="F16" s="15">
        <v>0.91400000000000003</v>
      </c>
      <c r="G16" s="15">
        <v>0.79800000000000004</v>
      </c>
      <c r="H16" s="15">
        <v>350</v>
      </c>
      <c r="I16" s="15">
        <v>64.64</v>
      </c>
      <c r="J16" s="15">
        <v>1.9430000000000001</v>
      </c>
      <c r="K16" s="15">
        <v>0.443</v>
      </c>
      <c r="L16" s="15">
        <v>0.436</v>
      </c>
      <c r="M16" s="15">
        <v>1000</v>
      </c>
      <c r="N16" s="15">
        <v>129.28</v>
      </c>
      <c r="O16" s="15">
        <v>1.8140000000000001</v>
      </c>
      <c r="P16" s="15">
        <v>0.42</v>
      </c>
      <c r="Q16" s="15">
        <v>129.28</v>
      </c>
      <c r="R16" s="15">
        <v>1.748</v>
      </c>
      <c r="S16" s="15">
        <v>0.40899999999999997</v>
      </c>
    </row>
    <row r="17" spans="1:19" x14ac:dyDescent="0.25">
      <c r="A17" s="13">
        <v>40026</v>
      </c>
      <c r="B17" s="16">
        <v>10.98</v>
      </c>
      <c r="C17" s="16">
        <v>0.80500000000000005</v>
      </c>
      <c r="D17" s="16">
        <v>120</v>
      </c>
      <c r="E17" s="16">
        <v>20.69</v>
      </c>
      <c r="F17" s="16">
        <v>0.88900000000000001</v>
      </c>
      <c r="G17" s="16">
        <v>0.77200000000000002</v>
      </c>
      <c r="H17" s="16">
        <v>350</v>
      </c>
      <c r="I17" s="16">
        <v>64.64</v>
      </c>
      <c r="J17" s="16">
        <v>1.94</v>
      </c>
      <c r="K17" s="16">
        <v>0.42799999999999999</v>
      </c>
      <c r="L17" s="16">
        <v>0.42099999999999999</v>
      </c>
      <c r="M17" s="16">
        <v>1000</v>
      </c>
      <c r="N17" s="16">
        <v>129.28</v>
      </c>
      <c r="O17" s="16">
        <v>1.81</v>
      </c>
      <c r="P17" s="16">
        <v>0.40500000000000003</v>
      </c>
      <c r="Q17" s="16">
        <v>129.28</v>
      </c>
      <c r="R17" s="16">
        <v>1.7450000000000001</v>
      </c>
      <c r="S17" s="16">
        <v>0.39400000000000002</v>
      </c>
    </row>
    <row r="18" spans="1:19" x14ac:dyDescent="0.25">
      <c r="A18" s="12">
        <v>40057</v>
      </c>
      <c r="B18" s="15">
        <v>10.98</v>
      </c>
      <c r="C18" s="15">
        <v>0.76400000000000001</v>
      </c>
      <c r="D18" s="15">
        <v>120</v>
      </c>
      <c r="E18" s="15">
        <v>20.69</v>
      </c>
      <c r="F18" s="15">
        <v>0.84799999999999998</v>
      </c>
      <c r="G18" s="15">
        <v>0.73099999999999998</v>
      </c>
      <c r="H18" s="15">
        <v>350</v>
      </c>
      <c r="I18" s="15">
        <v>64.64</v>
      </c>
      <c r="J18" s="15">
        <v>1.94</v>
      </c>
      <c r="K18" s="15">
        <v>0.38700000000000001</v>
      </c>
      <c r="L18" s="15">
        <v>0.38</v>
      </c>
      <c r="M18" s="15">
        <v>1000</v>
      </c>
      <c r="N18" s="15">
        <v>129.28</v>
      </c>
      <c r="O18" s="15">
        <v>1.81</v>
      </c>
      <c r="P18" s="15">
        <v>0.36399999999999999</v>
      </c>
      <c r="Q18" s="15">
        <v>129.28</v>
      </c>
      <c r="R18" s="15">
        <v>1.7450000000000001</v>
      </c>
      <c r="S18" s="15">
        <v>0.35299999999999998</v>
      </c>
    </row>
    <row r="19" spans="1:19" x14ac:dyDescent="0.25">
      <c r="A19" s="13">
        <v>40087</v>
      </c>
      <c r="B19" s="16">
        <v>10.98</v>
      </c>
      <c r="C19" s="16">
        <v>0.78900000000000003</v>
      </c>
      <c r="D19" s="16">
        <v>120</v>
      </c>
      <c r="E19" s="16">
        <v>20.69</v>
      </c>
      <c r="F19" s="16">
        <v>0.873</v>
      </c>
      <c r="G19" s="16">
        <v>0.75600000000000001</v>
      </c>
      <c r="H19" s="16">
        <v>350</v>
      </c>
      <c r="I19" s="16">
        <v>64.64</v>
      </c>
      <c r="J19" s="16">
        <v>1.94</v>
      </c>
      <c r="K19" s="16">
        <v>0.41199999999999998</v>
      </c>
      <c r="L19" s="16">
        <v>0.40500000000000003</v>
      </c>
      <c r="M19" s="16">
        <v>1000</v>
      </c>
      <c r="N19" s="16">
        <v>129.28</v>
      </c>
      <c r="O19" s="16">
        <v>1.81</v>
      </c>
      <c r="P19" s="16">
        <v>0.38900000000000001</v>
      </c>
      <c r="Q19" s="16">
        <v>129.28</v>
      </c>
      <c r="R19" s="16">
        <v>1.7450000000000001</v>
      </c>
      <c r="S19" s="16">
        <v>0.378</v>
      </c>
    </row>
    <row r="20" spans="1:19" x14ac:dyDescent="0.25">
      <c r="A20" s="12">
        <v>40148</v>
      </c>
      <c r="B20" s="15">
        <v>10.98</v>
      </c>
      <c r="C20" s="15">
        <v>0.73299999999999998</v>
      </c>
      <c r="D20" s="15">
        <v>120</v>
      </c>
      <c r="E20" s="15">
        <v>20.69</v>
      </c>
      <c r="F20" s="15">
        <v>0.81699999999999995</v>
      </c>
      <c r="G20" s="15">
        <v>0.7</v>
      </c>
      <c r="H20" s="15">
        <v>350</v>
      </c>
      <c r="I20" s="15">
        <v>64.64</v>
      </c>
      <c r="J20" s="15">
        <v>1.94</v>
      </c>
      <c r="K20" s="15">
        <v>0.35599999999999998</v>
      </c>
      <c r="L20" s="15">
        <v>0.34899999999999998</v>
      </c>
      <c r="M20" s="15">
        <v>1000</v>
      </c>
      <c r="N20" s="15">
        <v>129.28</v>
      </c>
      <c r="O20" s="15">
        <v>1.81</v>
      </c>
      <c r="P20" s="15">
        <v>0.33300000000000002</v>
      </c>
      <c r="Q20" s="15">
        <v>129.28</v>
      </c>
      <c r="R20" s="15">
        <v>1.7450000000000001</v>
      </c>
      <c r="S20" s="15">
        <v>0.32200000000000001</v>
      </c>
    </row>
    <row r="21" spans="1:19" x14ac:dyDescent="0.25">
      <c r="A21" s="13">
        <v>40179</v>
      </c>
      <c r="B21" s="16">
        <v>11.32</v>
      </c>
      <c r="C21" s="16">
        <v>0.745</v>
      </c>
      <c r="D21" s="16">
        <v>120</v>
      </c>
      <c r="E21" s="16">
        <v>21.32</v>
      </c>
      <c r="F21" s="16">
        <v>0.83099999999999996</v>
      </c>
      <c r="G21" s="16">
        <v>0.71099999999999997</v>
      </c>
      <c r="H21" s="16">
        <v>350</v>
      </c>
      <c r="I21" s="16">
        <v>66.63</v>
      </c>
      <c r="J21" s="16">
        <v>1.9770000000000001</v>
      </c>
      <c r="K21" s="16">
        <v>0.35799999999999998</v>
      </c>
      <c r="L21" s="16">
        <v>0.35099999999999998</v>
      </c>
      <c r="M21" s="16">
        <v>1000</v>
      </c>
      <c r="N21" s="16">
        <v>133.26</v>
      </c>
      <c r="O21" s="16">
        <v>1.8440000000000001</v>
      </c>
      <c r="P21" s="16">
        <v>0.33400000000000002</v>
      </c>
      <c r="Q21" s="16">
        <v>133.26</v>
      </c>
      <c r="R21" s="16">
        <v>1.776</v>
      </c>
      <c r="S21" s="16">
        <v>0.32300000000000001</v>
      </c>
    </row>
    <row r="22" spans="1:19" x14ac:dyDescent="0.25">
      <c r="A22" s="12">
        <v>40299</v>
      </c>
      <c r="B22" s="15">
        <v>11.32</v>
      </c>
      <c r="C22" s="15">
        <v>0.78200000000000003</v>
      </c>
      <c r="D22" s="15">
        <v>120</v>
      </c>
      <c r="E22" s="15">
        <v>21.32</v>
      </c>
      <c r="F22" s="15">
        <v>0.86799999999999999</v>
      </c>
      <c r="G22" s="15">
        <v>0.748</v>
      </c>
      <c r="H22" s="15">
        <v>350</v>
      </c>
      <c r="I22" s="15">
        <v>66.63</v>
      </c>
      <c r="J22" s="15">
        <v>1.9770000000000001</v>
      </c>
      <c r="K22" s="15">
        <v>0.39500000000000002</v>
      </c>
      <c r="L22" s="15">
        <v>0.38800000000000001</v>
      </c>
      <c r="M22" s="15">
        <v>1000</v>
      </c>
      <c r="N22" s="15">
        <v>133.26</v>
      </c>
      <c r="O22" s="15">
        <v>1.8440000000000001</v>
      </c>
      <c r="P22" s="15">
        <v>0.371</v>
      </c>
      <c r="Q22" s="15">
        <v>133.26</v>
      </c>
      <c r="R22" s="15">
        <v>1.776</v>
      </c>
      <c r="S22" s="15">
        <v>0.36</v>
      </c>
    </row>
    <row r="23" spans="1:19" x14ac:dyDescent="0.25">
      <c r="A23" s="13">
        <v>40360</v>
      </c>
      <c r="B23" s="16">
        <v>11.68</v>
      </c>
      <c r="C23" s="16">
        <v>0.81100000000000005</v>
      </c>
      <c r="D23" s="16">
        <v>120</v>
      </c>
      <c r="E23" s="16">
        <v>22</v>
      </c>
      <c r="F23" s="16">
        <v>0.9</v>
      </c>
      <c r="G23" s="16">
        <v>0.77600000000000002</v>
      </c>
      <c r="H23" s="16">
        <v>350</v>
      </c>
      <c r="I23" s="16">
        <v>68.739999999999995</v>
      </c>
      <c r="J23" s="16">
        <v>2.016</v>
      </c>
      <c r="K23" s="16">
        <v>0.41299999999999998</v>
      </c>
      <c r="L23" s="16">
        <v>0.40600000000000003</v>
      </c>
      <c r="M23" s="16">
        <v>1000</v>
      </c>
      <c r="N23" s="16">
        <v>137.47</v>
      </c>
      <c r="O23" s="16">
        <v>1.879</v>
      </c>
      <c r="P23" s="16">
        <v>0.38900000000000001</v>
      </c>
      <c r="Q23" s="16">
        <v>137.47</v>
      </c>
      <c r="R23" s="16">
        <v>1.8089999999999999</v>
      </c>
      <c r="S23" s="16">
        <v>0.377</v>
      </c>
    </row>
    <row r="24" spans="1:19" x14ac:dyDescent="0.25">
      <c r="A24" s="12">
        <v>40452</v>
      </c>
      <c r="B24" s="15">
        <v>11.68</v>
      </c>
      <c r="C24" s="15">
        <v>0.80600000000000005</v>
      </c>
      <c r="D24" s="15">
        <v>120</v>
      </c>
      <c r="E24" s="15">
        <v>22</v>
      </c>
      <c r="F24" s="15">
        <v>0.89500000000000002</v>
      </c>
      <c r="G24" s="15">
        <v>0.77100000000000002</v>
      </c>
      <c r="H24" s="15">
        <v>350</v>
      </c>
      <c r="I24" s="15">
        <v>68.739999999999995</v>
      </c>
      <c r="J24" s="15">
        <v>2.016</v>
      </c>
      <c r="K24" s="15">
        <v>0.40799999999999997</v>
      </c>
      <c r="L24" s="15">
        <v>0.40100000000000002</v>
      </c>
      <c r="M24" s="15">
        <v>1000</v>
      </c>
      <c r="N24" s="15">
        <v>137.47</v>
      </c>
      <c r="O24" s="15">
        <v>1.879</v>
      </c>
      <c r="P24" s="15">
        <v>0.38400000000000001</v>
      </c>
      <c r="Q24" s="15">
        <v>137.47</v>
      </c>
      <c r="R24" s="15">
        <v>1.8089999999999999</v>
      </c>
      <c r="S24" s="15">
        <v>0.372</v>
      </c>
    </row>
    <row r="25" spans="1:19" x14ac:dyDescent="0.25">
      <c r="A25" s="13">
        <v>40513</v>
      </c>
      <c r="B25" s="16">
        <v>11.68</v>
      </c>
      <c r="C25" s="16">
        <v>0.81299999999999994</v>
      </c>
      <c r="D25" s="16">
        <v>120</v>
      </c>
      <c r="E25" s="16">
        <v>22</v>
      </c>
      <c r="F25" s="16">
        <v>0.90200000000000002</v>
      </c>
      <c r="G25" s="16">
        <v>0.77800000000000002</v>
      </c>
      <c r="H25" s="16">
        <v>350</v>
      </c>
      <c r="I25" s="16">
        <v>68.739999999999995</v>
      </c>
      <c r="J25" s="16">
        <v>2.016</v>
      </c>
      <c r="K25" s="16">
        <v>0.41499999999999998</v>
      </c>
      <c r="L25" s="16">
        <v>0.40799999999999997</v>
      </c>
      <c r="M25" s="16">
        <v>1000</v>
      </c>
      <c r="N25" s="16">
        <v>137.47</v>
      </c>
      <c r="O25" s="16">
        <v>1.879</v>
      </c>
      <c r="P25" s="16">
        <v>0.39100000000000001</v>
      </c>
      <c r="Q25" s="16">
        <v>137.47</v>
      </c>
      <c r="R25" s="16">
        <v>1.8089999999999999</v>
      </c>
      <c r="S25" s="16">
        <v>0.379</v>
      </c>
    </row>
    <row r="26" spans="1:19" x14ac:dyDescent="0.25">
      <c r="A26" s="12">
        <v>40544</v>
      </c>
      <c r="B26" s="15">
        <v>11.82</v>
      </c>
      <c r="C26" s="15">
        <v>0.79900000000000004</v>
      </c>
      <c r="D26" s="15">
        <v>120</v>
      </c>
      <c r="E26" s="15">
        <v>22.26</v>
      </c>
      <c r="F26" s="15">
        <v>0.88900000000000001</v>
      </c>
      <c r="G26" s="15">
        <v>0.76400000000000001</v>
      </c>
      <c r="H26" s="15">
        <v>350</v>
      </c>
      <c r="I26" s="15">
        <v>69.56</v>
      </c>
      <c r="J26" s="15">
        <v>1.847</v>
      </c>
      <c r="K26" s="15">
        <v>0.41499999999999998</v>
      </c>
      <c r="L26" s="15">
        <v>0.40899999999999997</v>
      </c>
      <c r="M26" s="15">
        <v>1000</v>
      </c>
      <c r="N26" s="15">
        <v>139.11000000000001</v>
      </c>
      <c r="O26" s="15">
        <v>1.7070000000000001</v>
      </c>
      <c r="P26" s="15">
        <v>0.39100000000000001</v>
      </c>
      <c r="Q26" s="15">
        <v>139.11000000000001</v>
      </c>
      <c r="R26" s="15">
        <v>1.637</v>
      </c>
      <c r="S26" s="15">
        <v>0.379</v>
      </c>
    </row>
    <row r="27" spans="1:19" x14ac:dyDescent="0.25">
      <c r="A27" s="13">
        <v>40634</v>
      </c>
      <c r="B27" s="16">
        <v>11.82</v>
      </c>
      <c r="C27" s="16">
        <v>0.875</v>
      </c>
      <c r="D27" s="16">
        <v>120</v>
      </c>
      <c r="E27" s="16">
        <v>22.26</v>
      </c>
      <c r="F27" s="16">
        <v>0.96499999999999997</v>
      </c>
      <c r="G27" s="16">
        <v>0.84</v>
      </c>
      <c r="H27" s="16">
        <v>350</v>
      </c>
      <c r="I27" s="16">
        <v>69.56</v>
      </c>
      <c r="J27" s="16">
        <v>1.847</v>
      </c>
      <c r="K27" s="16">
        <v>0.49099999999999999</v>
      </c>
      <c r="L27" s="16">
        <v>0.48499999999999999</v>
      </c>
      <c r="M27" s="16">
        <v>1000</v>
      </c>
      <c r="N27" s="16">
        <v>139.11000000000001</v>
      </c>
      <c r="O27" s="16">
        <v>1.7070000000000001</v>
      </c>
      <c r="P27" s="16">
        <v>0.46700000000000003</v>
      </c>
      <c r="Q27" s="16">
        <v>139.11000000000001</v>
      </c>
      <c r="R27" s="16">
        <v>1.637</v>
      </c>
      <c r="S27" s="16">
        <v>0.45500000000000002</v>
      </c>
    </row>
    <row r="28" spans="1:19" x14ac:dyDescent="0.25">
      <c r="A28" s="12">
        <v>40664</v>
      </c>
      <c r="B28" s="15">
        <v>11.82</v>
      </c>
      <c r="C28" s="15">
        <v>0.872</v>
      </c>
      <c r="D28" s="15">
        <v>120</v>
      </c>
      <c r="E28" s="15">
        <v>22.26</v>
      </c>
      <c r="F28" s="15">
        <v>0.96199999999999997</v>
      </c>
      <c r="G28" s="15">
        <v>0.83699999999999997</v>
      </c>
      <c r="H28" s="15">
        <v>350</v>
      </c>
      <c r="I28" s="15">
        <v>69.56</v>
      </c>
      <c r="J28" s="15">
        <v>1.847</v>
      </c>
      <c r="K28" s="15">
        <v>0.48799999999999999</v>
      </c>
      <c r="L28" s="15">
        <v>0.48199999999999998</v>
      </c>
      <c r="M28" s="15">
        <v>1000</v>
      </c>
      <c r="N28" s="15">
        <v>139.11000000000001</v>
      </c>
      <c r="O28" s="15">
        <v>1.7070000000000001</v>
      </c>
      <c r="P28" s="15">
        <v>0.46400000000000002</v>
      </c>
      <c r="Q28" s="15">
        <v>139.11000000000001</v>
      </c>
      <c r="R28" s="15">
        <v>1.637</v>
      </c>
      <c r="S28" s="15">
        <v>0.45200000000000001</v>
      </c>
    </row>
    <row r="29" spans="1:19" x14ac:dyDescent="0.25">
      <c r="A29" s="13">
        <v>40725</v>
      </c>
      <c r="B29" s="16">
        <v>12.72</v>
      </c>
      <c r="C29" s="16">
        <v>0.88600000000000001</v>
      </c>
      <c r="D29" s="16">
        <v>120</v>
      </c>
      <c r="E29" s="16">
        <v>23.96</v>
      </c>
      <c r="F29" s="16">
        <v>0.98299999999999998</v>
      </c>
      <c r="G29" s="16">
        <v>0.84799999999999998</v>
      </c>
      <c r="H29" s="16">
        <v>350</v>
      </c>
      <c r="I29" s="16">
        <v>74.86</v>
      </c>
      <c r="J29" s="16">
        <v>1.9450000000000001</v>
      </c>
      <c r="K29" s="16">
        <v>0.47799999999999998</v>
      </c>
      <c r="L29" s="16">
        <v>0.47099999999999997</v>
      </c>
      <c r="M29" s="16">
        <v>1000</v>
      </c>
      <c r="N29" s="16">
        <v>149.72999999999999</v>
      </c>
      <c r="O29" s="16">
        <v>1.7949999999999999</v>
      </c>
      <c r="P29" s="16">
        <v>0.45300000000000001</v>
      </c>
      <c r="Q29" s="16">
        <v>149.72999999999999</v>
      </c>
      <c r="R29" s="16">
        <v>1.7190000000000001</v>
      </c>
      <c r="S29" s="16">
        <v>0.44</v>
      </c>
    </row>
    <row r="30" spans="1:19" x14ac:dyDescent="0.25">
      <c r="A30" s="12">
        <v>40817</v>
      </c>
      <c r="B30" s="15">
        <v>12.72</v>
      </c>
      <c r="C30" s="15">
        <v>1.044</v>
      </c>
      <c r="D30" s="15">
        <v>120</v>
      </c>
      <c r="E30" s="15">
        <v>23.96</v>
      </c>
      <c r="F30" s="15">
        <v>1.141</v>
      </c>
      <c r="G30" s="15">
        <v>1.006</v>
      </c>
      <c r="H30" s="15">
        <v>350</v>
      </c>
      <c r="I30" s="15">
        <v>74.86</v>
      </c>
      <c r="J30" s="15">
        <v>1.9450000000000001</v>
      </c>
      <c r="K30" s="15">
        <v>0.63600000000000001</v>
      </c>
      <c r="L30" s="15">
        <v>0.629</v>
      </c>
      <c r="M30" s="15">
        <v>1000</v>
      </c>
      <c r="N30" s="15">
        <v>149.72999999999999</v>
      </c>
      <c r="O30" s="15">
        <v>1.7949999999999999</v>
      </c>
      <c r="P30" s="15">
        <v>0.61099999999999999</v>
      </c>
      <c r="Q30" s="15">
        <v>149.72999999999999</v>
      </c>
      <c r="R30" s="15">
        <v>1.7190000000000001</v>
      </c>
      <c r="S30" s="15">
        <v>0.59799999999999998</v>
      </c>
    </row>
    <row r="31" spans="1:19" x14ac:dyDescent="0.25">
      <c r="A31" s="13">
        <v>40909</v>
      </c>
      <c r="B31" s="16">
        <v>12.65</v>
      </c>
      <c r="C31" s="16">
        <v>1.135</v>
      </c>
      <c r="D31" s="16">
        <v>120</v>
      </c>
      <c r="E31" s="16">
        <v>23.82</v>
      </c>
      <c r="F31" s="16">
        <v>1.141</v>
      </c>
      <c r="G31" s="16">
        <v>1.006</v>
      </c>
      <c r="H31" s="16">
        <v>350</v>
      </c>
      <c r="I31" s="16">
        <v>74.86</v>
      </c>
      <c r="J31" s="16">
        <v>1.9450000000000001</v>
      </c>
      <c r="K31" s="16">
        <v>0.63600000000000001</v>
      </c>
      <c r="L31" s="16">
        <v>0.629</v>
      </c>
      <c r="M31" s="16">
        <v>1000</v>
      </c>
      <c r="N31" s="16">
        <v>149.72999999999999</v>
      </c>
      <c r="O31" s="16">
        <v>1.7949999999999999</v>
      </c>
      <c r="P31" s="16">
        <v>0.61099999999999999</v>
      </c>
      <c r="Q31" s="16">
        <v>149.72999999999999</v>
      </c>
      <c r="R31" s="16">
        <v>1.7190000000000001</v>
      </c>
      <c r="S31" s="16">
        <v>0.59799999999999998</v>
      </c>
    </row>
    <row r="32" spans="1:19" x14ac:dyDescent="0.25">
      <c r="A32" s="12">
        <v>41030</v>
      </c>
      <c r="B32" s="15">
        <v>12.65</v>
      </c>
      <c r="C32" s="15">
        <v>1.123</v>
      </c>
      <c r="D32" s="15">
        <v>120</v>
      </c>
      <c r="E32" s="15">
        <v>23.82</v>
      </c>
      <c r="F32" s="15">
        <v>1.2090000000000001</v>
      </c>
      <c r="G32" s="15">
        <v>1.075</v>
      </c>
      <c r="H32" s="15">
        <v>350</v>
      </c>
      <c r="I32" s="15">
        <v>74.430000000000007</v>
      </c>
      <c r="J32" s="15">
        <v>1.9370000000000001</v>
      </c>
      <c r="K32" s="15">
        <v>0.63100000000000001</v>
      </c>
      <c r="L32" s="15">
        <v>0.625</v>
      </c>
      <c r="M32" s="15">
        <v>1000</v>
      </c>
      <c r="N32" s="15">
        <v>148.87</v>
      </c>
      <c r="O32" s="15">
        <v>1.788</v>
      </c>
      <c r="P32" s="15">
        <v>0.60599999999999998</v>
      </c>
      <c r="Q32" s="15">
        <v>148.87</v>
      </c>
      <c r="R32" s="15">
        <v>1.712</v>
      </c>
      <c r="S32" s="15">
        <v>0.59399999999999997</v>
      </c>
    </row>
    <row r="33" spans="1:24" x14ac:dyDescent="0.25">
      <c r="A33" s="13">
        <v>41091</v>
      </c>
      <c r="B33" s="16">
        <v>12.84</v>
      </c>
      <c r="C33" s="16">
        <v>1.1719999999999999</v>
      </c>
      <c r="D33" s="16">
        <v>120</v>
      </c>
      <c r="E33" s="16">
        <v>24.19</v>
      </c>
      <c r="F33" s="16">
        <v>1.272</v>
      </c>
      <c r="G33" s="16">
        <v>1.1359999999999999</v>
      </c>
      <c r="H33" s="16">
        <v>350</v>
      </c>
      <c r="I33" s="16">
        <v>75.569999999999993</v>
      </c>
      <c r="J33" s="16">
        <v>1.9370000000000001</v>
      </c>
      <c r="K33" s="16">
        <v>0.71399999999999997</v>
      </c>
      <c r="L33" s="16">
        <v>0.70799999999999996</v>
      </c>
      <c r="M33" s="16">
        <v>1000</v>
      </c>
      <c r="N33" s="16">
        <v>151.13</v>
      </c>
      <c r="O33" s="16">
        <v>1.806</v>
      </c>
      <c r="P33" s="16">
        <v>0.68899999999999995</v>
      </c>
      <c r="Q33" s="16">
        <v>151.13</v>
      </c>
      <c r="R33" s="16">
        <v>1.73</v>
      </c>
      <c r="S33" s="16">
        <v>0.67600000000000005</v>
      </c>
    </row>
    <row r="34" spans="1:24" ht="16.5" x14ac:dyDescent="0.25">
      <c r="A34" s="12">
        <v>41183</v>
      </c>
      <c r="B34" s="15">
        <v>12.86</v>
      </c>
      <c r="C34" s="15">
        <v>1.1679999999999999</v>
      </c>
      <c r="D34" s="15">
        <v>120</v>
      </c>
      <c r="E34" s="15">
        <v>24.22</v>
      </c>
      <c r="F34" s="15">
        <v>1.268</v>
      </c>
      <c r="G34" s="15">
        <v>1.1319999999999999</v>
      </c>
      <c r="H34" s="15">
        <v>350</v>
      </c>
      <c r="I34" s="15">
        <v>75.67</v>
      </c>
      <c r="J34" s="15">
        <v>1.96</v>
      </c>
      <c r="K34" s="15">
        <v>0.70899999999999996</v>
      </c>
      <c r="L34" s="15">
        <v>0.70299999999999996</v>
      </c>
      <c r="M34" s="15">
        <v>1000</v>
      </c>
      <c r="N34" s="15">
        <v>151.13</v>
      </c>
      <c r="O34" s="15">
        <v>1.8080000000000001</v>
      </c>
      <c r="P34" s="15">
        <v>0.68400000000000005</v>
      </c>
      <c r="Q34" s="15">
        <v>151.13</v>
      </c>
      <c r="R34" s="15">
        <v>1.732</v>
      </c>
      <c r="S34" s="15">
        <v>0.67100000000000004</v>
      </c>
      <c r="U34" s="3"/>
      <c r="V34" s="29"/>
      <c r="W34" s="29"/>
      <c r="X34" s="29"/>
    </row>
    <row r="35" spans="1:24" ht="16.5" x14ac:dyDescent="0.25">
      <c r="A35" s="13">
        <v>41275</v>
      </c>
      <c r="B35" s="16">
        <v>12.79</v>
      </c>
      <c r="C35" s="16">
        <v>1.1439999999999999</v>
      </c>
      <c r="D35" s="16">
        <v>120</v>
      </c>
      <c r="E35" s="16">
        <v>24.09</v>
      </c>
      <c r="F35" s="16">
        <v>1.242</v>
      </c>
      <c r="G35" s="16">
        <v>1.1060000000000001</v>
      </c>
      <c r="H35" s="16">
        <v>350</v>
      </c>
      <c r="I35" s="16">
        <v>75.27</v>
      </c>
      <c r="J35" s="16">
        <v>1.9530000000000001</v>
      </c>
      <c r="K35" s="16">
        <v>0.73699999999999999</v>
      </c>
      <c r="L35" s="16">
        <v>0.72899999999999998</v>
      </c>
      <c r="M35" s="16">
        <v>1000</v>
      </c>
      <c r="N35" s="16">
        <v>150.55000000000001</v>
      </c>
      <c r="O35" s="16">
        <v>1.802</v>
      </c>
      <c r="P35" s="16">
        <v>0.71</v>
      </c>
      <c r="Q35" s="16">
        <v>150.55000000000001</v>
      </c>
      <c r="R35" s="16">
        <v>1.726</v>
      </c>
      <c r="S35" s="16">
        <v>0.69699999999999995</v>
      </c>
      <c r="U35" s="3"/>
      <c r="V35" s="29"/>
      <c r="W35" s="29"/>
      <c r="X35" s="29"/>
    </row>
    <row r="36" spans="1:24" ht="16.5" x14ac:dyDescent="0.25">
      <c r="A36" s="12">
        <v>41365</v>
      </c>
      <c r="B36" s="15">
        <v>12.79</v>
      </c>
      <c r="C36" s="15">
        <v>1.21</v>
      </c>
      <c r="D36" s="15">
        <v>120</v>
      </c>
      <c r="E36" s="15">
        <v>24.09</v>
      </c>
      <c r="F36" s="15">
        <v>1.3080000000000001</v>
      </c>
      <c r="G36" s="15">
        <v>1.1719999999999999</v>
      </c>
      <c r="H36" s="15">
        <v>350</v>
      </c>
      <c r="I36" s="15">
        <v>75.27</v>
      </c>
      <c r="J36" s="15">
        <v>1.9530000000000001</v>
      </c>
      <c r="K36" s="15">
        <v>0.80300000000000005</v>
      </c>
      <c r="L36" s="15">
        <v>0.79500000000000004</v>
      </c>
      <c r="M36" s="15">
        <v>1000</v>
      </c>
      <c r="N36" s="15">
        <v>150.55000000000001</v>
      </c>
      <c r="O36" s="15">
        <v>1.802</v>
      </c>
      <c r="P36" s="15">
        <v>0.77600000000000002</v>
      </c>
      <c r="Q36" s="15">
        <v>150.55000000000001</v>
      </c>
      <c r="R36" s="15">
        <v>1.726</v>
      </c>
      <c r="S36" s="15">
        <v>0.76300000000000001</v>
      </c>
      <c r="U36" s="3"/>
      <c r="V36" s="29"/>
      <c r="W36" s="19"/>
      <c r="X36" s="19"/>
    </row>
    <row r="37" spans="1:24" ht="16.5" x14ac:dyDescent="0.25">
      <c r="A37" s="13">
        <v>41395</v>
      </c>
      <c r="B37" s="16">
        <v>12.79</v>
      </c>
      <c r="C37" s="16">
        <v>1.264</v>
      </c>
      <c r="D37" s="16">
        <v>120</v>
      </c>
      <c r="E37" s="16">
        <v>24.09</v>
      </c>
      <c r="F37" s="16">
        <v>1.3620000000000001</v>
      </c>
      <c r="G37" s="16">
        <v>1.226</v>
      </c>
      <c r="H37" s="16">
        <v>350</v>
      </c>
      <c r="I37" s="16">
        <v>75.27</v>
      </c>
      <c r="J37" s="16">
        <v>1.9530000000000001</v>
      </c>
      <c r="K37" s="16">
        <v>0.85699999999999998</v>
      </c>
      <c r="L37" s="16">
        <v>0.84899999999999998</v>
      </c>
      <c r="M37" s="16">
        <v>1000</v>
      </c>
      <c r="N37" s="16">
        <v>150.55000000000001</v>
      </c>
      <c r="O37" s="16">
        <v>1.802</v>
      </c>
      <c r="P37" s="16">
        <v>0.83</v>
      </c>
      <c r="Q37" s="16">
        <v>150.55000000000001</v>
      </c>
      <c r="R37" s="16">
        <v>1.726</v>
      </c>
      <c r="S37" s="16">
        <v>0.81699999999999995</v>
      </c>
      <c r="U37" s="3"/>
      <c r="V37" s="4"/>
      <c r="W37" s="4"/>
      <c r="X37" s="4"/>
    </row>
    <row r="38" spans="1:24" x14ac:dyDescent="0.25">
      <c r="A38" s="12">
        <v>41456</v>
      </c>
      <c r="B38" s="15">
        <v>12.89</v>
      </c>
      <c r="C38" s="15">
        <v>1.2889999999999999</v>
      </c>
      <c r="D38" s="15">
        <v>120</v>
      </c>
      <c r="E38" s="15">
        <v>24.38</v>
      </c>
      <c r="F38" s="15">
        <v>1.3879999999999999</v>
      </c>
      <c r="G38" s="15">
        <v>1.2509999999999999</v>
      </c>
      <c r="H38" s="15">
        <v>350</v>
      </c>
      <c r="I38" s="15">
        <v>75.86</v>
      </c>
      <c r="J38" s="15">
        <v>1.9630000000000001</v>
      </c>
      <c r="K38" s="15">
        <v>0.88</v>
      </c>
      <c r="L38" s="15">
        <v>0.92200000000000004</v>
      </c>
      <c r="M38" s="15">
        <v>1000</v>
      </c>
      <c r="N38" s="15">
        <v>151.72</v>
      </c>
      <c r="O38" s="15">
        <v>1.8109999999999999</v>
      </c>
      <c r="P38" s="15">
        <v>0.85299999999999998</v>
      </c>
      <c r="Q38" s="15">
        <v>151.72</v>
      </c>
      <c r="R38" s="15">
        <v>1.7350000000000001</v>
      </c>
      <c r="S38" s="15">
        <v>0.84</v>
      </c>
      <c r="U38" s="3"/>
      <c r="V38" s="3"/>
      <c r="W38" s="3"/>
      <c r="X38" s="3"/>
    </row>
    <row r="39" spans="1:24" x14ac:dyDescent="0.25">
      <c r="A39" s="13">
        <v>41548</v>
      </c>
      <c r="B39" s="16">
        <v>12.89</v>
      </c>
      <c r="C39" s="16">
        <v>1.2370000000000001</v>
      </c>
      <c r="D39" s="16">
        <v>120</v>
      </c>
      <c r="E39" s="16">
        <v>24.28</v>
      </c>
      <c r="F39" s="16">
        <v>1.335</v>
      </c>
      <c r="G39" s="16">
        <v>1.1990000000000001</v>
      </c>
      <c r="H39" s="16">
        <v>350</v>
      </c>
      <c r="I39" s="16">
        <v>75.86</v>
      </c>
      <c r="J39" s="16">
        <v>1.9630000000000001</v>
      </c>
      <c r="K39" s="16">
        <v>0.82699999999999996</v>
      </c>
      <c r="L39" s="16">
        <v>0.81899999999999995</v>
      </c>
      <c r="M39" s="16">
        <v>1000</v>
      </c>
      <c r="N39" s="16">
        <v>151.72</v>
      </c>
      <c r="O39" s="16">
        <v>1.8109999999999999</v>
      </c>
      <c r="P39" s="16">
        <v>0.8</v>
      </c>
      <c r="Q39" s="16">
        <v>151.72</v>
      </c>
      <c r="R39" s="16">
        <v>1.7350000000000001</v>
      </c>
      <c r="S39" s="16">
        <v>0.78700000000000003</v>
      </c>
      <c r="U39" s="3"/>
      <c r="V39" s="3"/>
      <c r="W39" s="3"/>
      <c r="X39" s="3"/>
    </row>
    <row r="40" spans="1:24" ht="16.5" x14ac:dyDescent="0.25">
      <c r="A40" s="12">
        <v>41640</v>
      </c>
      <c r="B40" s="15">
        <v>12.79</v>
      </c>
      <c r="C40" s="15">
        <v>1.302</v>
      </c>
      <c r="D40" s="15">
        <v>120</v>
      </c>
      <c r="E40" s="15">
        <v>24.08</v>
      </c>
      <c r="F40" s="15">
        <v>1.4419999999999999</v>
      </c>
      <c r="G40" s="15">
        <v>1.3069999999999999</v>
      </c>
      <c r="H40" s="15">
        <v>350</v>
      </c>
      <c r="I40" s="15">
        <v>75.239999999999995</v>
      </c>
      <c r="J40" s="15">
        <v>1.952</v>
      </c>
      <c r="K40" s="15">
        <v>0.871</v>
      </c>
      <c r="L40" s="15">
        <v>0.86299999999999999</v>
      </c>
      <c r="M40" s="15">
        <v>1000</v>
      </c>
      <c r="N40" s="15">
        <v>150.47</v>
      </c>
      <c r="O40" s="15">
        <v>1.601</v>
      </c>
      <c r="P40" s="15">
        <v>0.84399999999999997</v>
      </c>
      <c r="Q40" s="15">
        <v>150.47</v>
      </c>
      <c r="R40" s="15">
        <v>1.7250000000000001</v>
      </c>
      <c r="S40" s="15">
        <v>0.83199999999999996</v>
      </c>
      <c r="U40" s="29"/>
      <c r="V40" s="29"/>
      <c r="W40" s="29"/>
      <c r="X40" s="29"/>
    </row>
    <row r="41" spans="1:24" ht="16.5" x14ac:dyDescent="0.25">
      <c r="A41" s="13">
        <v>41760</v>
      </c>
      <c r="B41" s="16">
        <v>12.79</v>
      </c>
      <c r="C41" s="16">
        <v>1.266</v>
      </c>
      <c r="D41" s="16">
        <v>120</v>
      </c>
      <c r="E41" s="16">
        <v>24.08</v>
      </c>
      <c r="F41" s="16">
        <v>1.4059999999999999</v>
      </c>
      <c r="G41" s="16">
        <v>1.2689999999999999</v>
      </c>
      <c r="H41" s="16">
        <v>350</v>
      </c>
      <c r="I41" s="16">
        <v>75.239999999999995</v>
      </c>
      <c r="J41" s="16">
        <v>1.952</v>
      </c>
      <c r="K41" s="16">
        <v>0.83499999999999996</v>
      </c>
      <c r="L41" s="16">
        <v>0.82699999999999996</v>
      </c>
      <c r="M41" s="16">
        <v>1000</v>
      </c>
      <c r="N41" s="16">
        <v>150.47</v>
      </c>
      <c r="O41" s="16">
        <v>1.8009999999999999</v>
      </c>
      <c r="P41" s="16">
        <v>0.80800000000000005</v>
      </c>
      <c r="Q41" s="16">
        <v>150.47</v>
      </c>
      <c r="R41" s="16">
        <v>1.7250000000000001</v>
      </c>
      <c r="S41" s="16">
        <v>0.79500000000000004</v>
      </c>
      <c r="U41" s="29"/>
      <c r="V41" s="29"/>
      <c r="W41" s="29"/>
      <c r="X41" s="29"/>
    </row>
    <row r="42" spans="1:24" ht="16.5" x14ac:dyDescent="0.25">
      <c r="A42" s="12">
        <v>41821</v>
      </c>
      <c r="B42" s="15">
        <v>13.08</v>
      </c>
      <c r="C42" s="15">
        <v>1.2509999999999999</v>
      </c>
      <c r="D42" s="15">
        <v>120</v>
      </c>
      <c r="E42" s="15">
        <v>24.64</v>
      </c>
      <c r="F42" s="15">
        <v>1.351</v>
      </c>
      <c r="G42" s="15">
        <v>1.212</v>
      </c>
      <c r="H42" s="15">
        <v>350</v>
      </c>
      <c r="I42" s="15">
        <v>76.989999999999995</v>
      </c>
      <c r="J42" s="15">
        <v>1.984</v>
      </c>
      <c r="K42" s="15">
        <v>0.83699999999999997</v>
      </c>
      <c r="L42" s="15">
        <v>0.82899999999999996</v>
      </c>
      <c r="M42" s="15">
        <v>1000</v>
      </c>
      <c r="N42" s="15">
        <v>153.99</v>
      </c>
      <c r="O42" s="15">
        <v>1.83</v>
      </c>
      <c r="P42" s="15">
        <v>0.80900000000000005</v>
      </c>
      <c r="Q42" s="15">
        <v>153.99</v>
      </c>
      <c r="R42" s="15">
        <v>1.752</v>
      </c>
      <c r="S42" s="15">
        <v>0.79600000000000004</v>
      </c>
      <c r="U42" s="29"/>
      <c r="V42" s="29"/>
      <c r="W42" s="19"/>
      <c r="X42" s="19"/>
    </row>
    <row r="43" spans="1:24" ht="16.5" x14ac:dyDescent="0.25">
      <c r="A43" s="13">
        <v>42005</v>
      </c>
      <c r="B43" s="16">
        <v>12.01</v>
      </c>
      <c r="C43" s="16">
        <f>0.021+0.616</f>
        <v>0.63700000000000001</v>
      </c>
      <c r="D43" s="16">
        <v>120</v>
      </c>
      <c r="E43" s="16">
        <v>24.12</v>
      </c>
      <c r="F43" s="16">
        <f>0.719+0.616</f>
        <v>1.335</v>
      </c>
      <c r="G43" s="16">
        <f>0.583+0.616</f>
        <v>1.1989999999999998</v>
      </c>
      <c r="H43" s="16">
        <v>350</v>
      </c>
      <c r="I43" s="16">
        <v>75.349999999999994</v>
      </c>
      <c r="J43" s="16">
        <v>1.954</v>
      </c>
      <c r="K43" s="16">
        <f>0.214+0.618</f>
        <v>0.83199999999999996</v>
      </c>
      <c r="L43" s="16">
        <f>0.306+0.616</f>
        <v>0.92199999999999993</v>
      </c>
      <c r="M43" s="16">
        <v>1000</v>
      </c>
      <c r="N43" s="16">
        <v>150.71</v>
      </c>
      <c r="O43" s="16">
        <v>1.8029999999999999</v>
      </c>
      <c r="P43" s="16">
        <f>0.187+0.616</f>
        <v>0.80299999999999994</v>
      </c>
      <c r="Q43" s="16">
        <v>150.71</v>
      </c>
      <c r="R43" s="16">
        <v>1.7270000000000001</v>
      </c>
      <c r="S43" s="16">
        <f>0.176+0.616</f>
        <v>0.79200000000000004</v>
      </c>
      <c r="U43" s="5"/>
      <c r="V43" s="4"/>
      <c r="W43" s="4"/>
      <c r="X43" s="4"/>
    </row>
    <row r="44" spans="1:24" x14ac:dyDescent="0.25">
      <c r="A44" s="12">
        <v>42125</v>
      </c>
      <c r="B44" s="15">
        <v>12.81</v>
      </c>
      <c r="C44" s="15">
        <f>0.621+0.591</f>
        <v>1.212</v>
      </c>
      <c r="D44" s="15">
        <v>120</v>
      </c>
      <c r="E44" s="15">
        <v>24.12</v>
      </c>
      <c r="F44" s="15">
        <f>0.719+0.591</f>
        <v>1.31</v>
      </c>
      <c r="G44" s="15">
        <f>0.583+0.591</f>
        <v>1.1739999999999999</v>
      </c>
      <c r="H44" s="15">
        <v>350</v>
      </c>
      <c r="I44" s="15">
        <v>75.349999999999994</v>
      </c>
      <c r="J44" s="15">
        <v>1.954</v>
      </c>
      <c r="K44" s="15">
        <f>0.214+0.591</f>
        <v>0.80499999999999994</v>
      </c>
      <c r="L44" s="15">
        <f>0.206+0.591</f>
        <v>0.79699999999999993</v>
      </c>
      <c r="M44" s="15">
        <v>1000</v>
      </c>
      <c r="N44" s="15">
        <v>150.71</v>
      </c>
      <c r="O44" s="15">
        <v>1.8029999999999999</v>
      </c>
      <c r="P44" s="15">
        <f>0.187+0.591</f>
        <v>0.77800000000000002</v>
      </c>
      <c r="Q44" s="15">
        <v>150.71</v>
      </c>
      <c r="R44" s="15">
        <v>1.7270000000000001</v>
      </c>
      <c r="S44" s="15">
        <f>0.174+0.591</f>
        <v>0.7649999999999999</v>
      </c>
    </row>
    <row r="45" spans="1:24" x14ac:dyDescent="0.25">
      <c r="A45" s="13">
        <v>42186</v>
      </c>
      <c r="B45" s="16">
        <v>12.47</v>
      </c>
      <c r="C45" s="16">
        <f>0.606+0.575</f>
        <v>1.181</v>
      </c>
      <c r="D45" s="16">
        <v>120</v>
      </c>
      <c r="E45" s="16">
        <v>23.49</v>
      </c>
      <c r="F45" s="16">
        <f>0.701+0.575</f>
        <v>1.2759999999999998</v>
      </c>
      <c r="G45" s="16">
        <f>0.568+0.575</f>
        <v>1.1429999999999998</v>
      </c>
      <c r="H45" s="16">
        <v>350</v>
      </c>
      <c r="I45" s="16">
        <v>73.39</v>
      </c>
      <c r="J45" s="16">
        <v>1.917</v>
      </c>
      <c r="K45" s="16">
        <f>0.21+0.575</f>
        <v>0.78499999999999992</v>
      </c>
      <c r="L45" s="16">
        <f>0.202+0.575</f>
        <v>0.77699999999999991</v>
      </c>
      <c r="M45" s="16">
        <v>1000</v>
      </c>
      <c r="N45" s="16">
        <v>146.80000000000001</v>
      </c>
      <c r="O45" s="16">
        <v>1.77</v>
      </c>
      <c r="P45" s="16">
        <f>0.184+0.575</f>
        <v>0.7589999999999999</v>
      </c>
      <c r="Q45" s="16">
        <v>146.80000000000001</v>
      </c>
      <c r="R45" s="16">
        <v>1.6950000000000001</v>
      </c>
      <c r="S45" s="16">
        <f>0.171+0.575</f>
        <v>0.746</v>
      </c>
    </row>
    <row r="46" spans="1:24" x14ac:dyDescent="0.25">
      <c r="A46" s="12">
        <v>42278</v>
      </c>
      <c r="B46" s="15">
        <v>12.47</v>
      </c>
      <c r="C46" s="15">
        <f>0.6+0.563</f>
        <v>1.1629999999999998</v>
      </c>
      <c r="D46" s="15">
        <v>120</v>
      </c>
      <c r="E46" s="15">
        <v>23.49</v>
      </c>
      <c r="F46" s="15">
        <f>0.695+0.563</f>
        <v>1.258</v>
      </c>
      <c r="G46" s="15">
        <f>0.563+0.563</f>
        <v>1.1259999999999999</v>
      </c>
      <c r="H46" s="15">
        <v>350</v>
      </c>
      <c r="I46" s="15">
        <v>73.400000000000006</v>
      </c>
      <c r="J46" s="15">
        <v>1.917</v>
      </c>
      <c r="K46" s="15">
        <f>0.205+0.563</f>
        <v>0.7679999999999999</v>
      </c>
      <c r="L46" s="15">
        <f>0.197+0.566</f>
        <v>0.7629999999999999</v>
      </c>
      <c r="M46" s="15">
        <v>1000</v>
      </c>
      <c r="N46" s="15">
        <v>146.80000000000001</v>
      </c>
      <c r="O46" s="15">
        <v>1.77</v>
      </c>
      <c r="P46" s="15">
        <f>0.179+0.563</f>
        <v>0.74199999999999999</v>
      </c>
      <c r="Q46" s="15">
        <v>146.80000000000001</v>
      </c>
      <c r="R46" s="15">
        <v>1.6950000000000001</v>
      </c>
      <c r="S46" s="15">
        <f>0.167+0.566</f>
        <v>0.73299999999999998</v>
      </c>
    </row>
    <row r="47" spans="1:24" s="6" customFormat="1" x14ac:dyDescent="0.25">
      <c r="A47" s="13">
        <v>42370</v>
      </c>
      <c r="B47" s="16">
        <v>12.16</v>
      </c>
      <c r="C47" s="16">
        <f>0.588+0.535</f>
        <v>1.123</v>
      </c>
      <c r="D47" s="16">
        <v>120</v>
      </c>
      <c r="E47" s="16">
        <v>22.9</v>
      </c>
      <c r="F47" s="16">
        <f>0.681+0.535</f>
        <v>1.2160000000000002</v>
      </c>
      <c r="G47" s="16">
        <f>0.552+0.535</f>
        <v>1.0870000000000002</v>
      </c>
      <c r="H47" s="16">
        <v>350</v>
      </c>
      <c r="I47" s="16">
        <v>71.56</v>
      </c>
      <c r="J47" s="16">
        <v>1.883</v>
      </c>
      <c r="K47" s="16">
        <f>0.201+0.535</f>
        <v>0.73599999999999999</v>
      </c>
      <c r="L47" s="16">
        <f>0.192+0.536</f>
        <v>0.72799999999999998</v>
      </c>
      <c r="M47" s="16">
        <v>1000</v>
      </c>
      <c r="N47" s="16">
        <v>143.12</v>
      </c>
      <c r="O47" s="16">
        <v>1.74</v>
      </c>
      <c r="P47" s="16">
        <f>0.174+0.535</f>
        <v>0.70900000000000007</v>
      </c>
      <c r="Q47" s="16">
        <f t="shared" ref="Q47:Q52" si="0">N47</f>
        <v>143.12</v>
      </c>
      <c r="R47" s="16">
        <v>1.667</v>
      </c>
      <c r="S47" s="16">
        <f>0.162+0.535</f>
        <v>0.69700000000000006</v>
      </c>
    </row>
    <row r="48" spans="1:24" s="6" customFormat="1" x14ac:dyDescent="0.25">
      <c r="A48" s="12">
        <v>42491</v>
      </c>
      <c r="B48" s="15">
        <v>12.15</v>
      </c>
      <c r="C48" s="15">
        <f>0.592+0.536</f>
        <v>1.1280000000000001</v>
      </c>
      <c r="D48" s="15">
        <v>120</v>
      </c>
      <c r="E48" s="15">
        <v>22.88</v>
      </c>
      <c r="F48" s="15">
        <f>0.685+0.536</f>
        <v>1.2210000000000001</v>
      </c>
      <c r="G48" s="15">
        <f>0.557+0.536</f>
        <v>1.093</v>
      </c>
      <c r="H48" s="15">
        <v>350</v>
      </c>
      <c r="I48" s="15">
        <v>71.48</v>
      </c>
      <c r="J48" s="15">
        <v>1.8819999999999999</v>
      </c>
      <c r="K48" s="15">
        <f>0.206+0.536</f>
        <v>0.74199999999999999</v>
      </c>
      <c r="L48" s="15">
        <f>0.197+0.536</f>
        <v>0.7330000000000001</v>
      </c>
      <c r="M48" s="15">
        <v>1000</v>
      </c>
      <c r="N48" s="15">
        <v>142.97</v>
      </c>
      <c r="O48" s="15">
        <v>1.7390000000000001</v>
      </c>
      <c r="P48" s="15">
        <f>0.179+0.536</f>
        <v>0.71500000000000008</v>
      </c>
      <c r="Q48" s="15">
        <f t="shared" si="0"/>
        <v>142.97</v>
      </c>
      <c r="R48" s="15">
        <v>1.6659999999999999</v>
      </c>
      <c r="S48" s="15">
        <f>0.167+0.536</f>
        <v>0.70300000000000007</v>
      </c>
    </row>
    <row r="49" spans="1:19" s="6" customFormat="1" x14ac:dyDescent="0.25">
      <c r="A49" s="13">
        <v>42522</v>
      </c>
      <c r="B49" s="16">
        <v>12.15</v>
      </c>
      <c r="C49" s="16">
        <f>0.585+0.479</f>
        <v>1.0640000000000001</v>
      </c>
      <c r="D49" s="16">
        <v>120</v>
      </c>
      <c r="E49" s="16">
        <v>22.88</v>
      </c>
      <c r="F49" s="16">
        <f>0.678+0.479</f>
        <v>1.157</v>
      </c>
      <c r="G49" s="16">
        <f>0.549+0.479</f>
        <v>1.028</v>
      </c>
      <c r="H49" s="16">
        <v>350</v>
      </c>
      <c r="I49" s="16">
        <v>71.48</v>
      </c>
      <c r="J49" s="16">
        <v>1.8819999999999999</v>
      </c>
      <c r="K49" s="16">
        <f>0.198+0.479</f>
        <v>0.67700000000000005</v>
      </c>
      <c r="L49" s="16">
        <f>0.19+0.479</f>
        <v>0.66900000000000004</v>
      </c>
      <c r="M49" s="16">
        <v>1000</v>
      </c>
      <c r="N49" s="16">
        <v>142.97</v>
      </c>
      <c r="O49" s="16">
        <v>1.7390000000000001</v>
      </c>
      <c r="P49" s="16">
        <f>0.172+0.479</f>
        <v>0.65100000000000002</v>
      </c>
      <c r="Q49" s="16">
        <f t="shared" si="0"/>
        <v>142.97</v>
      </c>
      <c r="R49" s="16">
        <v>1.6659999999999999</v>
      </c>
      <c r="S49" s="16">
        <f>0.16+0.479</f>
        <v>0.63900000000000001</v>
      </c>
    </row>
    <row r="50" spans="1:19" x14ac:dyDescent="0.25">
      <c r="A50" s="12">
        <v>42552</v>
      </c>
      <c r="B50" s="15">
        <v>12.07</v>
      </c>
      <c r="C50" s="15">
        <f>0.581+0.479</f>
        <v>1.06</v>
      </c>
      <c r="D50" s="15">
        <v>120</v>
      </c>
      <c r="E50" s="15">
        <v>22.73</v>
      </c>
      <c r="F50" s="15">
        <f>0.673+0.479</f>
        <v>1.1520000000000001</v>
      </c>
      <c r="G50" s="15">
        <f>0.545+0.479</f>
        <v>1.024</v>
      </c>
      <c r="H50" s="15">
        <v>350</v>
      </c>
      <c r="I50" s="15">
        <v>71.010000000000005</v>
      </c>
      <c r="J50" s="15">
        <v>1.873</v>
      </c>
      <c r="K50" s="15">
        <f>0.197+0.479</f>
        <v>0.67599999999999993</v>
      </c>
      <c r="L50" s="15">
        <f>0.189+0.479</f>
        <v>0.66799999999999993</v>
      </c>
      <c r="M50" s="15">
        <v>1000</v>
      </c>
      <c r="N50" s="15">
        <v>142.03</v>
      </c>
      <c r="O50" s="15">
        <v>1.73</v>
      </c>
      <c r="P50" s="15">
        <f>0.171+0.479</f>
        <v>0.65</v>
      </c>
      <c r="Q50" s="15">
        <f t="shared" si="0"/>
        <v>142.03</v>
      </c>
      <c r="R50" s="15">
        <v>1.659</v>
      </c>
      <c r="S50" s="15">
        <f>0.159+0.479</f>
        <v>0.63800000000000001</v>
      </c>
    </row>
    <row r="51" spans="1:19" x14ac:dyDescent="0.25">
      <c r="A51" s="13">
        <v>42644</v>
      </c>
      <c r="B51" s="16">
        <v>12.07</v>
      </c>
      <c r="C51" s="16">
        <f>0.538+0.192</f>
        <v>0.73</v>
      </c>
      <c r="D51" s="16">
        <v>120</v>
      </c>
      <c r="E51" s="16">
        <v>22.73</v>
      </c>
      <c r="F51" s="16">
        <f>0.63+0.192</f>
        <v>0.82200000000000006</v>
      </c>
      <c r="G51" s="16">
        <f>0.502+0.192</f>
        <v>0.69399999999999995</v>
      </c>
      <c r="H51" s="16">
        <v>350</v>
      </c>
      <c r="I51" s="16">
        <v>71.010000000000005</v>
      </c>
      <c r="J51" s="16">
        <v>1.873</v>
      </c>
      <c r="K51" s="16">
        <f>0.155+0.192</f>
        <v>0.34699999999999998</v>
      </c>
      <c r="L51" s="16">
        <f>0.146+0.192</f>
        <v>0.33799999999999997</v>
      </c>
      <c r="M51" s="16">
        <v>1000</v>
      </c>
      <c r="N51" s="16">
        <v>142.03</v>
      </c>
      <c r="O51" s="16">
        <v>1.73</v>
      </c>
      <c r="P51" s="16">
        <f>0.129+0.192</f>
        <v>0.32100000000000001</v>
      </c>
      <c r="Q51" s="16">
        <f t="shared" si="0"/>
        <v>142.03</v>
      </c>
      <c r="R51" s="16">
        <v>1.659</v>
      </c>
      <c r="S51" s="16">
        <f>0.116+0.192</f>
        <v>0.308</v>
      </c>
    </row>
    <row r="52" spans="1:19" x14ac:dyDescent="0.25">
      <c r="A52" s="12">
        <v>42736</v>
      </c>
      <c r="B52" s="15">
        <v>12.17</v>
      </c>
      <c r="C52" s="15">
        <f>0.551+0.273</f>
        <v>0.82400000000000007</v>
      </c>
      <c r="D52" s="15">
        <v>120</v>
      </c>
      <c r="E52" s="15">
        <v>22.93</v>
      </c>
      <c r="F52" s="15">
        <f>0.644+0.273</f>
        <v>0.91700000000000004</v>
      </c>
      <c r="G52" s="15">
        <f>0.515+0.273</f>
        <v>0.78800000000000003</v>
      </c>
      <c r="H52" s="15">
        <v>350</v>
      </c>
      <c r="I52" s="15">
        <v>71.64</v>
      </c>
      <c r="J52" s="15">
        <v>1.8839999999999999</v>
      </c>
      <c r="K52" s="15">
        <f>0.166+0.273</f>
        <v>0.43900000000000006</v>
      </c>
      <c r="L52" s="15">
        <f>0.515+0.273</f>
        <v>0.78800000000000003</v>
      </c>
      <c r="M52" s="15">
        <v>1000</v>
      </c>
      <c r="N52" s="15">
        <v>143.28</v>
      </c>
      <c r="O52" s="15">
        <v>1.74</v>
      </c>
      <c r="P52" s="15">
        <f>0.14+0.273</f>
        <v>0.41300000000000003</v>
      </c>
      <c r="Q52" s="15">
        <f t="shared" si="0"/>
        <v>143.28</v>
      </c>
      <c r="R52" s="15">
        <v>1.6679999999999999</v>
      </c>
      <c r="S52" s="15">
        <f>0.127+0.273</f>
        <v>0.4</v>
      </c>
    </row>
    <row r="53" spans="1:19" ht="15.95" customHeight="1" x14ac:dyDescent="0.25">
      <c r="A53" s="13">
        <v>42979</v>
      </c>
      <c r="B53" s="16">
        <v>12.45</v>
      </c>
      <c r="C53" s="16">
        <v>0.755</v>
      </c>
      <c r="D53" s="16">
        <v>120</v>
      </c>
      <c r="E53" s="16">
        <v>23.44</v>
      </c>
      <c r="F53" s="16">
        <v>0.85</v>
      </c>
      <c r="G53" s="16">
        <v>0.71799999999999997</v>
      </c>
      <c r="H53" s="16">
        <v>350</v>
      </c>
      <c r="I53" s="16" t="s">
        <v>15</v>
      </c>
      <c r="J53" s="16" t="s">
        <v>15</v>
      </c>
      <c r="K53" s="16" t="s">
        <v>15</v>
      </c>
      <c r="L53" s="16" t="s">
        <v>15</v>
      </c>
      <c r="M53" s="16" t="s">
        <v>15</v>
      </c>
      <c r="N53" s="16" t="s">
        <v>15</v>
      </c>
      <c r="O53" s="16" t="s">
        <v>15</v>
      </c>
      <c r="P53" s="16" t="s">
        <v>15</v>
      </c>
      <c r="Q53" s="16" t="s">
        <v>15</v>
      </c>
      <c r="R53" s="16" t="s">
        <v>15</v>
      </c>
      <c r="S53" s="16" t="s">
        <v>15</v>
      </c>
    </row>
    <row r="54" spans="1:19" s="7" customFormat="1" ht="15.75" customHeight="1" x14ac:dyDescent="0.25">
      <c r="A54" s="20" t="s">
        <v>9</v>
      </c>
      <c r="B54" s="20"/>
      <c r="C54" s="20"/>
      <c r="D54" s="20"/>
      <c r="E54" s="20"/>
      <c r="F54" s="20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</row>
    <row r="55" spans="1:19" s="7" customFormat="1" ht="15.75" customHeight="1" x14ac:dyDescent="0.25">
      <c r="A55" s="20" t="s">
        <v>32</v>
      </c>
      <c r="B55" s="20"/>
      <c r="C55" s="20"/>
      <c r="D55" s="20"/>
      <c r="E55" s="20"/>
      <c r="F55" s="20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</row>
    <row r="56" spans="1:19" s="7" customFormat="1" ht="15.75" customHeight="1" x14ac:dyDescent="0.25">
      <c r="A56" s="20" t="s">
        <v>33</v>
      </c>
      <c r="B56" s="20"/>
      <c r="C56" s="20"/>
      <c r="D56" s="20"/>
      <c r="E56" s="20"/>
      <c r="F56" s="20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</row>
    <row r="57" spans="1:19" s="7" customFormat="1" ht="15.75" customHeight="1" x14ac:dyDescent="0.25">
      <c r="A57" s="20" t="s">
        <v>34</v>
      </c>
      <c r="B57" s="20"/>
      <c r="C57" s="20"/>
      <c r="D57" s="20"/>
      <c r="E57" s="20"/>
      <c r="F57" s="20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</row>
    <row r="58" spans="1:19" s="7" customFormat="1" ht="15.75" customHeight="1" x14ac:dyDescent="0.25">
      <c r="A58" s="20" t="s">
        <v>12</v>
      </c>
      <c r="B58" s="20"/>
      <c r="C58" s="20"/>
      <c r="D58" s="20"/>
      <c r="E58" s="20"/>
      <c r="F58" s="20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</row>
    <row r="59" spans="1:19" s="7" customFormat="1" ht="15.75" customHeight="1" x14ac:dyDescent="0.25">
      <c r="A59" s="20" t="s">
        <v>13</v>
      </c>
      <c r="B59" s="20"/>
      <c r="C59" s="20"/>
      <c r="D59" s="20"/>
      <c r="E59" s="20"/>
      <c r="F59" s="20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</row>
    <row r="60" spans="1:19" s="7" customFormat="1" ht="15.75" customHeight="1" x14ac:dyDescent="0.25">
      <c r="A60" s="20" t="s">
        <v>28</v>
      </c>
      <c r="B60" s="20"/>
      <c r="C60" s="20"/>
      <c r="D60" s="20"/>
      <c r="E60" s="20"/>
      <c r="F60" s="20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</row>
    <row r="61" spans="1:19" s="7" customFormat="1" ht="15.75" customHeight="1" x14ac:dyDescent="0.25">
      <c r="A61" s="20" t="s">
        <v>31</v>
      </c>
      <c r="B61" s="20"/>
      <c r="C61" s="20"/>
      <c r="D61" s="20"/>
      <c r="E61" s="20"/>
      <c r="F61" s="20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</row>
    <row r="62" spans="1:19" s="7" customFormat="1" ht="15.75" customHeight="1" x14ac:dyDescent="0.25">
      <c r="A62" s="20" t="s">
        <v>26</v>
      </c>
      <c r="B62" s="20"/>
      <c r="C62" s="20"/>
      <c r="D62" s="20"/>
      <c r="E62" s="20"/>
      <c r="F62" s="20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</row>
    <row r="63" spans="1:19" s="7" customFormat="1" ht="15.75" customHeight="1" x14ac:dyDescent="0.25">
      <c r="A63" s="20" t="s">
        <v>27</v>
      </c>
      <c r="B63" s="20"/>
      <c r="C63" s="20"/>
      <c r="D63" s="20"/>
      <c r="E63" s="20"/>
      <c r="F63" s="20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</row>
    <row r="64" spans="1:19" s="7" customFormat="1" ht="15.75" customHeight="1" x14ac:dyDescent="0.25">
      <c r="A64" s="20"/>
      <c r="B64" s="20"/>
      <c r="C64" s="20"/>
      <c r="D64" s="20"/>
      <c r="E64" s="20"/>
      <c r="F64" s="20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</row>
    <row r="65" spans="1:19" s="7" customFormat="1" ht="15.75" customHeight="1" x14ac:dyDescent="0.25">
      <c r="A65" s="20"/>
      <c r="B65" s="20"/>
      <c r="C65" s="20"/>
      <c r="D65" s="20"/>
      <c r="E65" s="20"/>
      <c r="F65" s="20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</row>
  </sheetData>
  <mergeCells count="13">
    <mergeCell ref="V34:X34"/>
    <mergeCell ref="V35:V36"/>
    <mergeCell ref="W35:X35"/>
    <mergeCell ref="U40:U42"/>
    <mergeCell ref="V40:X40"/>
    <mergeCell ref="V41:V42"/>
    <mergeCell ref="W41:X41"/>
    <mergeCell ref="Q4:S4"/>
    <mergeCell ref="A4:A5"/>
    <mergeCell ref="B4:D4"/>
    <mergeCell ref="E4:H4"/>
    <mergeCell ref="I4:M4"/>
    <mergeCell ref="N4:P4"/>
  </mergeCells>
  <printOptions horizontalCentered="1" verticalCentered="1"/>
  <pageMargins left="3.937007874015748E-2" right="3.937007874015748E-2" top="0.35433070866141736" bottom="0.35433070866141736" header="0.11811023622047245" footer="0.11811023622047245"/>
  <pageSetup paperSize="9" scale="53" firstPageNumber="0" orientation="landscape" horizontalDpi="300" verticalDpi="300" r:id="rId1"/>
  <customProperties>
    <customPr name="GUID" r:id="rId2"/>
  </customProperties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96"/>
  <sheetViews>
    <sheetView topLeftCell="A13" zoomScale="80" zoomScaleNormal="80" workbookViewId="0">
      <selection activeCell="A27" sqref="A27"/>
    </sheetView>
  </sheetViews>
  <sheetFormatPr baseColWidth="10" defaultColWidth="9.140625" defaultRowHeight="15" x14ac:dyDescent="0.25"/>
  <cols>
    <col min="1" max="1" width="14.5703125" style="14" customWidth="1"/>
    <col min="2" max="1024" width="10.7109375" style="14" customWidth="1"/>
    <col min="1025" max="16384" width="9.140625" style="14"/>
  </cols>
  <sheetData>
    <row r="1" spans="1:19" ht="23.25" x14ac:dyDescent="0.35">
      <c r="A1" s="1"/>
      <c r="B1" s="10" t="s">
        <v>18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5.75" x14ac:dyDescent="0.25">
      <c r="A2" s="2"/>
      <c r="B2" s="18" t="s">
        <v>17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5.75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20.25" customHeight="1" x14ac:dyDescent="0.25">
      <c r="A4" s="28" t="s">
        <v>0</v>
      </c>
      <c r="B4" s="25" t="s">
        <v>1</v>
      </c>
      <c r="C4" s="26"/>
      <c r="D4" s="27"/>
      <c r="E4" s="25" t="s">
        <v>2</v>
      </c>
      <c r="F4" s="26"/>
      <c r="G4" s="26"/>
      <c r="H4" s="27"/>
      <c r="I4" s="25" t="s">
        <v>14</v>
      </c>
      <c r="J4" s="26"/>
      <c r="K4" s="26"/>
      <c r="L4" s="26"/>
      <c r="M4" s="27"/>
      <c r="N4" s="25" t="s">
        <v>29</v>
      </c>
      <c r="O4" s="26"/>
      <c r="P4" s="27"/>
      <c r="Q4" s="25" t="s">
        <v>30</v>
      </c>
      <c r="R4" s="26"/>
      <c r="S4" s="27"/>
    </row>
    <row r="5" spans="1:19" ht="51" customHeight="1" x14ac:dyDescent="0.25">
      <c r="A5" s="28"/>
      <c r="B5" s="17" t="s">
        <v>3</v>
      </c>
      <c r="C5" s="17" t="s">
        <v>4</v>
      </c>
      <c r="D5" s="17" t="s">
        <v>5</v>
      </c>
      <c r="E5" s="17" t="s">
        <v>6</v>
      </c>
      <c r="F5" s="17" t="s">
        <v>19</v>
      </c>
      <c r="G5" s="17" t="s">
        <v>20</v>
      </c>
      <c r="H5" s="17" t="s">
        <v>5</v>
      </c>
      <c r="I5" s="17" t="s">
        <v>6</v>
      </c>
      <c r="J5" s="17" t="s">
        <v>7</v>
      </c>
      <c r="K5" s="17" t="s">
        <v>21</v>
      </c>
      <c r="L5" s="17" t="s">
        <v>22</v>
      </c>
      <c r="M5" s="17" t="s">
        <v>5</v>
      </c>
      <c r="N5" s="17" t="s">
        <v>8</v>
      </c>
      <c r="O5" s="17" t="s">
        <v>7</v>
      </c>
      <c r="P5" s="17" t="s">
        <v>4</v>
      </c>
      <c r="Q5" s="17" t="s">
        <v>8</v>
      </c>
      <c r="R5" s="17" t="s">
        <v>7</v>
      </c>
      <c r="S5" s="17" t="s">
        <v>4</v>
      </c>
    </row>
    <row r="6" spans="1:19" x14ac:dyDescent="0.25">
      <c r="A6" s="12">
        <v>43101</v>
      </c>
      <c r="B6" s="15">
        <v>12.7</v>
      </c>
      <c r="C6" s="15">
        <v>0.81699999999999995</v>
      </c>
      <c r="D6" s="15">
        <v>120</v>
      </c>
      <c r="E6" s="15">
        <v>23.92</v>
      </c>
      <c r="F6" s="15">
        <v>0.91400000000000003</v>
      </c>
      <c r="G6" s="15">
        <v>0.77900000000000003</v>
      </c>
      <c r="H6" s="15">
        <v>350</v>
      </c>
      <c r="I6" s="15" t="s">
        <v>15</v>
      </c>
      <c r="J6" s="15" t="s">
        <v>15</v>
      </c>
      <c r="K6" s="15" t="s">
        <v>15</v>
      </c>
      <c r="L6" s="15" t="s">
        <v>15</v>
      </c>
      <c r="M6" s="15" t="s">
        <v>15</v>
      </c>
      <c r="N6" s="15" t="s">
        <v>15</v>
      </c>
      <c r="O6" s="15" t="s">
        <v>15</v>
      </c>
      <c r="P6" s="15" t="s">
        <v>15</v>
      </c>
      <c r="Q6" s="15" t="s">
        <v>15</v>
      </c>
      <c r="R6" s="15" t="s">
        <v>15</v>
      </c>
      <c r="S6" s="15" t="s">
        <v>15</v>
      </c>
    </row>
    <row r="7" spans="1:19" ht="15.95" customHeight="1" x14ac:dyDescent="0.25">
      <c r="A7" s="13">
        <v>43221</v>
      </c>
      <c r="B7" s="16">
        <v>12.7</v>
      </c>
      <c r="C7" s="16">
        <v>0.88700000000000001</v>
      </c>
      <c r="D7" s="16">
        <v>120</v>
      </c>
      <c r="E7" s="16">
        <v>23.92</v>
      </c>
      <c r="F7" s="16">
        <v>0.98399999999999999</v>
      </c>
      <c r="G7" s="16">
        <v>0.85</v>
      </c>
      <c r="H7" s="16">
        <v>350</v>
      </c>
      <c r="I7" s="16" t="s">
        <v>15</v>
      </c>
      <c r="J7" s="16" t="s">
        <v>15</v>
      </c>
      <c r="K7" s="16" t="s">
        <v>15</v>
      </c>
      <c r="L7" s="16" t="s">
        <v>15</v>
      </c>
      <c r="M7" s="16" t="s">
        <v>15</v>
      </c>
      <c r="N7" s="16" t="s">
        <v>15</v>
      </c>
      <c r="O7" s="16" t="s">
        <v>15</v>
      </c>
      <c r="P7" s="16" t="s">
        <v>15</v>
      </c>
      <c r="Q7" s="16" t="s">
        <v>15</v>
      </c>
      <c r="R7" s="16" t="s">
        <v>15</v>
      </c>
      <c r="S7" s="16" t="s">
        <v>15</v>
      </c>
    </row>
    <row r="8" spans="1:19" ht="15.95" customHeight="1" x14ac:dyDescent="0.25">
      <c r="A8" s="12">
        <v>43252</v>
      </c>
      <c r="B8" s="15">
        <v>12.7</v>
      </c>
      <c r="C8" s="15">
        <v>0.94099999999999995</v>
      </c>
      <c r="D8" s="15">
        <v>120</v>
      </c>
      <c r="E8" s="15">
        <v>23.92</v>
      </c>
      <c r="F8" s="15">
        <v>1.038</v>
      </c>
      <c r="G8" s="15">
        <v>0.90400000000000003</v>
      </c>
      <c r="H8" s="15">
        <v>350</v>
      </c>
      <c r="I8" s="15" t="s">
        <v>15</v>
      </c>
      <c r="J8" s="15" t="s">
        <v>15</v>
      </c>
      <c r="K8" s="15" t="s">
        <v>15</v>
      </c>
      <c r="L8" s="15" t="s">
        <v>15</v>
      </c>
      <c r="M8" s="15" t="s">
        <v>15</v>
      </c>
      <c r="N8" s="15" t="s">
        <v>15</v>
      </c>
      <c r="O8" s="15" t="s">
        <v>15</v>
      </c>
      <c r="P8" s="15" t="s">
        <v>15</v>
      </c>
      <c r="Q8" s="15" t="s">
        <v>15</v>
      </c>
      <c r="R8" s="15" t="s">
        <v>15</v>
      </c>
      <c r="S8" s="15" t="s">
        <v>15</v>
      </c>
    </row>
    <row r="9" spans="1:19" ht="15.95" customHeight="1" x14ac:dyDescent="0.25">
      <c r="A9" s="13">
        <v>43282</v>
      </c>
      <c r="B9" s="16">
        <v>13.16</v>
      </c>
      <c r="C9" s="16">
        <v>0.94799999999999995</v>
      </c>
      <c r="D9" s="16">
        <v>120</v>
      </c>
      <c r="E9" s="16">
        <v>24.78</v>
      </c>
      <c r="F9" s="16">
        <v>1.048</v>
      </c>
      <c r="G9" s="16">
        <v>0.90900000000000003</v>
      </c>
      <c r="H9" s="16">
        <v>350</v>
      </c>
      <c r="I9" s="16" t="s">
        <v>15</v>
      </c>
      <c r="J9" s="16" t="s">
        <v>15</v>
      </c>
      <c r="K9" s="16" t="s">
        <v>15</v>
      </c>
      <c r="L9" s="16" t="s">
        <v>15</v>
      </c>
      <c r="M9" s="16" t="s">
        <v>15</v>
      </c>
      <c r="N9" s="16" t="s">
        <v>15</v>
      </c>
      <c r="O9" s="16" t="s">
        <v>15</v>
      </c>
      <c r="P9" s="16" t="s">
        <v>15</v>
      </c>
      <c r="Q9" s="16" t="s">
        <v>15</v>
      </c>
      <c r="R9" s="16" t="s">
        <v>15</v>
      </c>
      <c r="S9" s="16" t="s">
        <v>15</v>
      </c>
    </row>
    <row r="10" spans="1:19" ht="15.95" customHeight="1" x14ac:dyDescent="0.25">
      <c r="A10" s="12">
        <v>43374</v>
      </c>
      <c r="B10" s="15">
        <v>13.16</v>
      </c>
      <c r="C10" s="15">
        <f>0.973+0.049</f>
        <v>1.022</v>
      </c>
      <c r="D10" s="15">
        <v>120</v>
      </c>
      <c r="E10" s="15">
        <v>24.78</v>
      </c>
      <c r="F10" s="15">
        <f>1.073+0.049</f>
        <v>1.1219999999999999</v>
      </c>
      <c r="G10" s="15">
        <f>0.934+0.049</f>
        <v>0.9830000000000001</v>
      </c>
      <c r="H10" s="15">
        <v>350</v>
      </c>
      <c r="I10" s="15" t="s">
        <v>15</v>
      </c>
      <c r="J10" s="15" t="s">
        <v>15</v>
      </c>
      <c r="K10" s="15" t="s">
        <v>15</v>
      </c>
      <c r="L10" s="15" t="s">
        <v>15</v>
      </c>
      <c r="M10" s="15" t="s">
        <v>15</v>
      </c>
      <c r="N10" s="15" t="s">
        <v>15</v>
      </c>
      <c r="O10" s="15" t="s">
        <v>15</v>
      </c>
      <c r="P10" s="15" t="s">
        <v>15</v>
      </c>
      <c r="Q10" s="15" t="s">
        <v>15</v>
      </c>
      <c r="R10" s="15" t="s">
        <v>15</v>
      </c>
      <c r="S10" s="15" t="s">
        <v>15</v>
      </c>
    </row>
    <row r="11" spans="1:19" ht="15.95" customHeight="1" x14ac:dyDescent="0.25">
      <c r="A11" s="13">
        <v>43466</v>
      </c>
      <c r="B11" s="16">
        <v>13.14</v>
      </c>
      <c r="C11" s="16">
        <f>0.983+0.043</f>
        <v>1.026</v>
      </c>
      <c r="D11" s="16">
        <v>120</v>
      </c>
      <c r="E11" s="16">
        <v>24.75</v>
      </c>
      <c r="F11" s="16">
        <f>1.083+0.043</f>
        <v>1.1259999999999999</v>
      </c>
      <c r="G11" s="16">
        <f>0.944+0.043</f>
        <v>0.98699999999999999</v>
      </c>
      <c r="H11" s="16">
        <v>350</v>
      </c>
      <c r="I11" s="16" t="s">
        <v>15</v>
      </c>
      <c r="J11" s="16" t="s">
        <v>15</v>
      </c>
      <c r="K11" s="16" t="s">
        <v>15</v>
      </c>
      <c r="L11" s="16" t="s">
        <v>15</v>
      </c>
      <c r="M11" s="16" t="s">
        <v>15</v>
      </c>
      <c r="N11" s="16" t="s">
        <v>15</v>
      </c>
      <c r="O11" s="16" t="s">
        <v>15</v>
      </c>
      <c r="P11" s="16" t="s">
        <v>15</v>
      </c>
      <c r="Q11" s="16" t="s">
        <v>15</v>
      </c>
      <c r="R11" s="16" t="s">
        <v>15</v>
      </c>
      <c r="S11" s="16" t="s">
        <v>15</v>
      </c>
    </row>
    <row r="12" spans="1:19" ht="15.95" customHeight="1" x14ac:dyDescent="0.25">
      <c r="A12" s="12">
        <v>43647</v>
      </c>
      <c r="B12" s="15">
        <v>13.24</v>
      </c>
      <c r="C12" s="15">
        <f>0.839+0.032</f>
        <v>0.871</v>
      </c>
      <c r="D12" s="15">
        <v>120</v>
      </c>
      <c r="E12" s="15">
        <v>24.93</v>
      </c>
      <c r="F12" s="15">
        <f>0.942+0.032</f>
        <v>0.97399999999999998</v>
      </c>
      <c r="G12" s="15">
        <f>0.801+0.032</f>
        <v>0.83300000000000007</v>
      </c>
      <c r="H12" s="15">
        <v>350</v>
      </c>
      <c r="I12" s="15">
        <v>77.89</v>
      </c>
      <c r="J12" s="15">
        <v>1.4079999999999999</v>
      </c>
      <c r="K12" s="15">
        <f>0.585+0.032</f>
        <v>0.61699999999999999</v>
      </c>
      <c r="L12" s="15">
        <f>0.575+0.032</f>
        <v>0.60699999999999998</v>
      </c>
      <c r="M12" s="15">
        <v>1000</v>
      </c>
      <c r="N12" s="15" t="s">
        <v>15</v>
      </c>
      <c r="O12" s="15" t="s">
        <v>15</v>
      </c>
      <c r="P12" s="15" t="s">
        <v>15</v>
      </c>
      <c r="Q12" s="15" t="s">
        <v>15</v>
      </c>
      <c r="R12" s="15" t="s">
        <v>15</v>
      </c>
      <c r="S12" s="15" t="s">
        <v>15</v>
      </c>
    </row>
    <row r="13" spans="1:19" ht="15.95" customHeight="1" x14ac:dyDescent="0.25">
      <c r="A13" s="13">
        <v>43709</v>
      </c>
      <c r="B13" s="16">
        <v>13.24</v>
      </c>
      <c r="C13" s="16">
        <f>0.792+0.028</f>
        <v>0.82000000000000006</v>
      </c>
      <c r="D13" s="16">
        <v>120</v>
      </c>
      <c r="E13" s="16">
        <v>24.93</v>
      </c>
      <c r="F13" s="16">
        <f>0.894+0.028</f>
        <v>0.92200000000000004</v>
      </c>
      <c r="G13" s="16">
        <f>0.754+0.028</f>
        <v>0.78200000000000003</v>
      </c>
      <c r="H13" s="16">
        <v>350</v>
      </c>
      <c r="I13" s="16">
        <v>77.89</v>
      </c>
      <c r="J13" s="16">
        <v>1.4079999999999999</v>
      </c>
      <c r="K13" s="16">
        <f>0.538+0.028</f>
        <v>0.56600000000000006</v>
      </c>
      <c r="L13" s="16">
        <f>0.528+0.028</f>
        <v>0.55600000000000005</v>
      </c>
      <c r="M13" s="16">
        <v>1000</v>
      </c>
      <c r="N13" s="16" t="s">
        <v>15</v>
      </c>
      <c r="O13" s="16" t="s">
        <v>15</v>
      </c>
      <c r="P13" s="16" t="s">
        <v>15</v>
      </c>
      <c r="Q13" s="16" t="s">
        <v>15</v>
      </c>
      <c r="R13" s="16" t="s">
        <v>15</v>
      </c>
      <c r="S13" s="16" t="s">
        <v>15</v>
      </c>
    </row>
    <row r="14" spans="1:19" ht="15.95" customHeight="1" x14ac:dyDescent="0.25">
      <c r="A14" s="12">
        <v>43739</v>
      </c>
      <c r="B14" s="15">
        <v>13.24</v>
      </c>
      <c r="C14" s="15">
        <f>0.697+0.02</f>
        <v>0.71699999999999997</v>
      </c>
      <c r="D14" s="15">
        <v>120</v>
      </c>
      <c r="E14" s="15">
        <v>24.93</v>
      </c>
      <c r="F14" s="15">
        <f>0.799+0.02</f>
        <v>0.81900000000000006</v>
      </c>
      <c r="G14" s="15">
        <f>0.659+0.02</f>
        <v>0.67900000000000005</v>
      </c>
      <c r="H14" s="15">
        <v>350</v>
      </c>
      <c r="I14" s="15">
        <v>77.89</v>
      </c>
      <c r="J14" s="15">
        <v>1.4079999999999999</v>
      </c>
      <c r="K14" s="15">
        <f>0.443+0.02</f>
        <v>0.46300000000000002</v>
      </c>
      <c r="L14" s="15">
        <f>0.433+0.02</f>
        <v>0.45300000000000001</v>
      </c>
      <c r="M14" s="15">
        <v>1000</v>
      </c>
      <c r="N14" s="15" t="s">
        <v>15</v>
      </c>
      <c r="O14" s="15" t="s">
        <v>15</v>
      </c>
      <c r="P14" s="15" t="s">
        <v>15</v>
      </c>
      <c r="Q14" s="15" t="s">
        <v>15</v>
      </c>
      <c r="R14" s="15" t="s">
        <v>15</v>
      </c>
      <c r="S14" s="15" t="s">
        <v>15</v>
      </c>
    </row>
    <row r="15" spans="1:19" ht="15.95" customHeight="1" x14ac:dyDescent="0.25">
      <c r="A15" s="13">
        <v>43831</v>
      </c>
      <c r="B15" s="16">
        <v>13.06</v>
      </c>
      <c r="C15" s="16">
        <f>0.7+0.019</f>
        <v>0.71899999999999997</v>
      </c>
      <c r="D15" s="16">
        <v>120</v>
      </c>
      <c r="E15" s="16">
        <v>24.6</v>
      </c>
      <c r="F15" s="16">
        <f>0.801+0.019</f>
        <v>0.82000000000000006</v>
      </c>
      <c r="G15" s="16">
        <f>0.663+0.019</f>
        <v>0.68200000000000005</v>
      </c>
      <c r="H15" s="16">
        <v>350</v>
      </c>
      <c r="I15" s="16">
        <v>76.88</v>
      </c>
      <c r="J15" s="16">
        <v>1.39</v>
      </c>
      <c r="K15" s="16">
        <f>0.449+0.019</f>
        <v>0.46800000000000003</v>
      </c>
      <c r="L15" s="16">
        <f>0.439+0.019</f>
        <v>0.45800000000000002</v>
      </c>
      <c r="M15" s="16">
        <v>1000</v>
      </c>
      <c r="N15" s="16" t="s">
        <v>15</v>
      </c>
      <c r="O15" s="16" t="s">
        <v>15</v>
      </c>
      <c r="P15" s="16" t="s">
        <v>15</v>
      </c>
      <c r="Q15" s="16" t="s">
        <v>15</v>
      </c>
      <c r="R15" s="16" t="s">
        <v>15</v>
      </c>
      <c r="S15" s="16" t="s">
        <v>15</v>
      </c>
    </row>
    <row r="16" spans="1:19" ht="15.95" customHeight="1" x14ac:dyDescent="0.25">
      <c r="A16" s="12">
        <v>43952</v>
      </c>
      <c r="B16" s="15">
        <v>13.06</v>
      </c>
      <c r="C16" s="15">
        <f>0.587+0.015</f>
        <v>0.60199999999999998</v>
      </c>
      <c r="D16" s="15">
        <v>120</v>
      </c>
      <c r="E16" s="15">
        <v>24.6</v>
      </c>
      <c r="F16" s="15">
        <f>0.688+0.015</f>
        <v>0.70299999999999996</v>
      </c>
      <c r="G16" s="15">
        <f>0.55+0.015</f>
        <v>0.56500000000000006</v>
      </c>
      <c r="H16" s="15">
        <v>350</v>
      </c>
      <c r="I16" s="15">
        <v>76.88</v>
      </c>
      <c r="J16" s="15">
        <v>1.39</v>
      </c>
      <c r="K16" s="15">
        <f>0.336+0.015</f>
        <v>0.35100000000000003</v>
      </c>
      <c r="L16" s="15">
        <f>0.327+0.015</f>
        <v>0.34200000000000003</v>
      </c>
      <c r="M16" s="15">
        <v>1000</v>
      </c>
      <c r="N16" s="15" t="s">
        <v>15</v>
      </c>
      <c r="O16" s="15" t="s">
        <v>15</v>
      </c>
      <c r="P16" s="15" t="s">
        <v>15</v>
      </c>
      <c r="Q16" s="15" t="s">
        <v>15</v>
      </c>
      <c r="R16" s="15" t="s">
        <v>15</v>
      </c>
      <c r="S16" s="15" t="s">
        <v>15</v>
      </c>
    </row>
    <row r="17" spans="1:19" ht="15.95" customHeight="1" x14ac:dyDescent="0.25">
      <c r="A17" s="21">
        <v>44013</v>
      </c>
      <c r="B17" s="22">
        <v>12.6</v>
      </c>
      <c r="C17" s="22">
        <f>0.54+0.013</f>
        <v>0.55300000000000005</v>
      </c>
      <c r="D17" s="22">
        <v>120</v>
      </c>
      <c r="E17" s="22">
        <v>23.73</v>
      </c>
      <c r="F17" s="22">
        <f>0.636+0.013</f>
        <v>0.64900000000000002</v>
      </c>
      <c r="G17" s="22">
        <f>0.503+0.013</f>
        <v>0.51600000000000001</v>
      </c>
      <c r="H17" s="22">
        <v>350</v>
      </c>
      <c r="I17" s="22">
        <v>74.14</v>
      </c>
      <c r="J17" s="22">
        <v>1.34</v>
      </c>
      <c r="K17" s="22">
        <f>0.297+0.013</f>
        <v>0.31</v>
      </c>
      <c r="L17" s="22">
        <f>0.287+0.013</f>
        <v>0.3</v>
      </c>
      <c r="M17" s="22">
        <v>1000</v>
      </c>
      <c r="N17" s="22" t="s">
        <v>15</v>
      </c>
      <c r="O17" s="22" t="s">
        <v>15</v>
      </c>
      <c r="P17" s="22" t="s">
        <v>15</v>
      </c>
      <c r="Q17" s="22" t="s">
        <v>15</v>
      </c>
      <c r="R17" s="22" t="s">
        <v>15</v>
      </c>
      <c r="S17" s="22" t="s">
        <v>15</v>
      </c>
    </row>
    <row r="18" spans="1:19" ht="15.95" customHeight="1" x14ac:dyDescent="0.25">
      <c r="A18" s="12">
        <v>44105</v>
      </c>
      <c r="B18" s="15">
        <v>12.6</v>
      </c>
      <c r="C18" s="15">
        <f>0.493+0.004</f>
        <v>0.497</v>
      </c>
      <c r="D18" s="15">
        <v>120</v>
      </c>
      <c r="E18" s="15">
        <v>23.73</v>
      </c>
      <c r="F18" s="15">
        <f>0.59+0.004</f>
        <v>0.59399999999999997</v>
      </c>
      <c r="G18" s="15">
        <f>0.457+0.004</f>
        <v>0.46100000000000002</v>
      </c>
      <c r="H18" s="15">
        <v>350</v>
      </c>
      <c r="I18" s="15">
        <v>74.14</v>
      </c>
      <c r="J18" s="15">
        <v>1.34</v>
      </c>
      <c r="K18" s="15">
        <f>0.25+0.004</f>
        <v>0.254</v>
      </c>
      <c r="L18" s="15">
        <f>0.241+0.004</f>
        <v>0.245</v>
      </c>
      <c r="M18" s="15">
        <v>1000</v>
      </c>
      <c r="N18" s="15" t="s">
        <v>15</v>
      </c>
      <c r="O18" s="15" t="s">
        <v>15</v>
      </c>
      <c r="P18" s="15" t="s">
        <v>15</v>
      </c>
      <c r="Q18" s="15" t="s">
        <v>15</v>
      </c>
      <c r="R18" s="15" t="s">
        <v>15</v>
      </c>
      <c r="S18" s="15" t="s">
        <v>15</v>
      </c>
    </row>
    <row r="19" spans="1:19" ht="15.95" customHeight="1" x14ac:dyDescent="0.25">
      <c r="A19" s="21">
        <v>44197</v>
      </c>
      <c r="B19" s="22">
        <v>12.92</v>
      </c>
      <c r="C19" s="22">
        <f>0.569+0.007</f>
        <v>0.57599999999999996</v>
      </c>
      <c r="D19" s="22">
        <v>120</v>
      </c>
      <c r="E19" s="22">
        <v>24.33</v>
      </c>
      <c r="F19" s="22">
        <f>0.669+0.007</f>
        <v>0.67600000000000005</v>
      </c>
      <c r="G19" s="22">
        <f>0.532+0.007</f>
        <v>0.53900000000000003</v>
      </c>
      <c r="H19" s="22">
        <v>350</v>
      </c>
      <c r="I19" s="22">
        <v>76.02</v>
      </c>
      <c r="J19" s="22">
        <v>1.3740000000000001</v>
      </c>
      <c r="K19" s="22">
        <f>0.32+0.007</f>
        <v>0.32700000000000001</v>
      </c>
      <c r="L19" s="22">
        <f>0.311+0.007</f>
        <v>0.318</v>
      </c>
      <c r="M19" s="22">
        <v>1000</v>
      </c>
      <c r="N19" s="22" t="s">
        <v>15</v>
      </c>
      <c r="O19" s="22" t="s">
        <v>15</v>
      </c>
      <c r="P19" s="22" t="s">
        <v>15</v>
      </c>
      <c r="Q19" s="22" t="s">
        <v>15</v>
      </c>
      <c r="R19" s="22" t="s">
        <v>15</v>
      </c>
      <c r="S19" s="22" t="s">
        <v>15</v>
      </c>
    </row>
    <row r="20" spans="1:19" ht="15.95" customHeight="1" x14ac:dyDescent="0.25">
      <c r="A20" s="12">
        <v>44317</v>
      </c>
      <c r="B20" s="15">
        <v>13.92</v>
      </c>
      <c r="C20" s="15">
        <f>0.569+0.007</f>
        <v>0.57599999999999996</v>
      </c>
      <c r="D20" s="15">
        <v>120</v>
      </c>
      <c r="E20" s="15">
        <v>24.33</v>
      </c>
      <c r="F20" s="15">
        <f>0.669+0.007</f>
        <v>0.67600000000000005</v>
      </c>
      <c r="G20" s="15">
        <f>0.532+0.007</f>
        <v>0.53900000000000003</v>
      </c>
      <c r="H20" s="15">
        <v>350</v>
      </c>
      <c r="I20" s="15">
        <v>76.02</v>
      </c>
      <c r="J20" s="15">
        <v>1.3740000000000001</v>
      </c>
      <c r="K20" s="15">
        <f>0.32+0.007</f>
        <v>0.32700000000000001</v>
      </c>
      <c r="L20" s="15">
        <f>0.311+0.007</f>
        <v>0.318</v>
      </c>
      <c r="M20" s="15">
        <v>1000</v>
      </c>
      <c r="N20" s="15" t="s">
        <v>15</v>
      </c>
      <c r="O20" s="15" t="s">
        <v>15</v>
      </c>
      <c r="P20" s="15" t="s">
        <v>15</v>
      </c>
      <c r="Q20" s="15" t="s">
        <v>15</v>
      </c>
      <c r="R20" s="15" t="s">
        <v>15</v>
      </c>
      <c r="S20" s="15" t="s">
        <v>15</v>
      </c>
    </row>
    <row r="21" spans="1:19" ht="15.95" customHeight="1" x14ac:dyDescent="0.25">
      <c r="A21" s="21">
        <v>44378</v>
      </c>
      <c r="B21" s="22">
        <v>13.92</v>
      </c>
      <c r="C21" s="22">
        <f>0.678+0.027</f>
        <v>0.70500000000000007</v>
      </c>
      <c r="D21" s="22">
        <v>120</v>
      </c>
      <c r="E21" s="22">
        <v>26.22</v>
      </c>
      <c r="F21" s="22">
        <f>0.786+0.027</f>
        <v>0.81300000000000006</v>
      </c>
      <c r="G21" s="22">
        <f>0.638+0.027</f>
        <v>0.66500000000000004</v>
      </c>
      <c r="H21" s="22">
        <v>350</v>
      </c>
      <c r="I21" s="22">
        <v>81.92</v>
      </c>
      <c r="J21" s="22">
        <v>1.48</v>
      </c>
      <c r="K21" s="22">
        <f>0.412+0.027</f>
        <v>0.439</v>
      </c>
      <c r="L21" s="22">
        <f>0.402+0.027</f>
        <v>0.42900000000000005</v>
      </c>
      <c r="M21" s="22">
        <v>1000</v>
      </c>
      <c r="N21" s="22" t="s">
        <v>15</v>
      </c>
      <c r="O21" s="22" t="s">
        <v>15</v>
      </c>
      <c r="P21" s="22" t="s">
        <v>15</v>
      </c>
      <c r="Q21" s="22" t="s">
        <v>15</v>
      </c>
      <c r="R21" s="22" t="s">
        <v>15</v>
      </c>
      <c r="S21" s="22" t="s">
        <v>15</v>
      </c>
    </row>
    <row r="22" spans="1:19" ht="15.95" customHeight="1" x14ac:dyDescent="0.25">
      <c r="A22" s="12">
        <v>44470</v>
      </c>
      <c r="B22" s="15">
        <v>14.24</v>
      </c>
      <c r="C22" s="15">
        <f>0.794+0.027</f>
        <v>0.82100000000000006</v>
      </c>
      <c r="D22" s="15">
        <v>120</v>
      </c>
      <c r="E22" s="15">
        <v>26.82</v>
      </c>
      <c r="F22" s="15">
        <f>0.903+0.027</f>
        <v>0.93</v>
      </c>
      <c r="G22" s="15">
        <f>0.753+0.027</f>
        <v>0.78</v>
      </c>
      <c r="H22" s="15">
        <v>350</v>
      </c>
      <c r="I22" s="15">
        <v>83.79</v>
      </c>
      <c r="J22" s="15">
        <v>1.514</v>
      </c>
      <c r="K22" s="15">
        <f>0.522+0.027</f>
        <v>0.54900000000000004</v>
      </c>
      <c r="L22" s="15">
        <f>0.502+0.027</f>
        <v>0.52900000000000003</v>
      </c>
      <c r="M22" s="15">
        <v>1000</v>
      </c>
      <c r="N22" s="15" t="s">
        <v>15</v>
      </c>
      <c r="O22" s="15" t="s">
        <v>15</v>
      </c>
      <c r="P22" s="15" t="s">
        <v>15</v>
      </c>
      <c r="Q22" s="15" t="s">
        <v>15</v>
      </c>
      <c r="R22" s="15" t="s">
        <v>15</v>
      </c>
      <c r="S22" s="15" t="s">
        <v>15</v>
      </c>
    </row>
    <row r="23" spans="1:19" ht="15.95" customHeight="1" x14ac:dyDescent="0.25">
      <c r="A23" s="21">
        <v>44562</v>
      </c>
      <c r="B23" s="22">
        <v>15.06</v>
      </c>
      <c r="C23" s="22">
        <f>0.851+0.029</f>
        <v>0.88</v>
      </c>
      <c r="D23" s="22">
        <v>120</v>
      </c>
      <c r="E23" s="22">
        <v>28.37</v>
      </c>
      <c r="F23" s="22">
        <f>0.967+0.029</f>
        <v>0.996</v>
      </c>
      <c r="G23" s="22">
        <f>0.808+0.029</f>
        <v>0.83700000000000008</v>
      </c>
      <c r="H23" s="22">
        <v>350</v>
      </c>
      <c r="I23" s="22">
        <v>88.64</v>
      </c>
      <c r="J23" s="22">
        <v>1.601</v>
      </c>
      <c r="K23" s="22">
        <f>0.565+0.029</f>
        <v>0.59399999999999997</v>
      </c>
      <c r="L23" s="22">
        <f>0.555+0.029</f>
        <v>0.58400000000000007</v>
      </c>
      <c r="M23" s="22">
        <v>1000</v>
      </c>
      <c r="N23" s="22" t="s">
        <v>15</v>
      </c>
      <c r="O23" s="22" t="s">
        <v>15</v>
      </c>
      <c r="P23" s="22" t="s">
        <v>15</v>
      </c>
      <c r="Q23" s="22" t="s">
        <v>15</v>
      </c>
      <c r="R23" s="22" t="s">
        <v>15</v>
      </c>
      <c r="S23" s="22" t="s">
        <v>15</v>
      </c>
    </row>
    <row r="24" spans="1:19" ht="15.95" customHeight="1" x14ac:dyDescent="0.25">
      <c r="A24" s="23">
        <v>44682</v>
      </c>
      <c r="B24" s="24">
        <v>15.06</v>
      </c>
      <c r="C24" s="24">
        <f>1.055+0.043</f>
        <v>1.0979999999999999</v>
      </c>
      <c r="D24" s="24">
        <v>120</v>
      </c>
      <c r="E24" s="24">
        <v>28.37</v>
      </c>
      <c r="F24" s="24">
        <f>1.171+0.043</f>
        <v>1.214</v>
      </c>
      <c r="G24" s="24">
        <f>1.012+0.043</f>
        <v>1.0549999999999999</v>
      </c>
      <c r="H24" s="24">
        <v>350</v>
      </c>
      <c r="I24" s="24">
        <v>88.64</v>
      </c>
      <c r="J24" s="24">
        <v>1.601</v>
      </c>
      <c r="K24" s="24">
        <f>0.769+0.043</f>
        <v>0.81200000000000006</v>
      </c>
      <c r="L24" s="24">
        <f>0.759+0.043</f>
        <v>0.80200000000000005</v>
      </c>
      <c r="M24" s="24">
        <v>1000</v>
      </c>
      <c r="N24" s="24" t="s">
        <v>15</v>
      </c>
      <c r="O24" s="24" t="s">
        <v>15</v>
      </c>
      <c r="P24" s="24" t="s">
        <v>15</v>
      </c>
      <c r="Q24" s="24" t="s">
        <v>15</v>
      </c>
      <c r="R24" s="24" t="s">
        <v>15</v>
      </c>
      <c r="S24" s="24" t="s">
        <v>15</v>
      </c>
    </row>
    <row r="25" spans="1:19" ht="15.95" customHeight="1" x14ac:dyDescent="0.25">
      <c r="A25" s="21">
        <v>44743</v>
      </c>
      <c r="B25" s="22">
        <v>17.010000000000002</v>
      </c>
      <c r="C25" s="22">
        <f>1.192+0.042</f>
        <v>1.234</v>
      </c>
      <c r="D25" s="22">
        <v>120</v>
      </c>
      <c r="E25" s="22">
        <v>32.03</v>
      </c>
      <c r="F25" s="22">
        <f>1.323+0.042</f>
        <v>1.365</v>
      </c>
      <c r="G25" s="22">
        <f>1.143+0.042</f>
        <v>1.1850000000000001</v>
      </c>
      <c r="H25" s="22">
        <v>350</v>
      </c>
      <c r="I25" s="22">
        <v>100.07</v>
      </c>
      <c r="J25" s="22">
        <v>1.8069999999999999</v>
      </c>
      <c r="K25" s="22">
        <f>0.873+0.042</f>
        <v>0.91500000000000004</v>
      </c>
      <c r="L25" s="22">
        <f>0.861+0.042</f>
        <v>0.90300000000000002</v>
      </c>
      <c r="M25" s="22">
        <v>1000</v>
      </c>
      <c r="N25" s="22" t="s">
        <v>15</v>
      </c>
      <c r="O25" s="22" t="s">
        <v>15</v>
      </c>
      <c r="P25" s="22" t="s">
        <v>15</v>
      </c>
      <c r="Q25" s="22" t="s">
        <v>15</v>
      </c>
      <c r="R25" s="22" t="s">
        <v>15</v>
      </c>
      <c r="S25" s="22" t="s">
        <v>15</v>
      </c>
    </row>
    <row r="26" spans="1:19" ht="15.95" customHeight="1" x14ac:dyDescent="0.25">
      <c r="A26" s="23">
        <v>44835</v>
      </c>
      <c r="B26" s="24">
        <v>17.010000000000002</v>
      </c>
      <c r="C26" s="24">
        <f>1.2+0.036</f>
        <v>1.236</v>
      </c>
      <c r="D26" s="24">
        <v>120</v>
      </c>
      <c r="E26" s="24">
        <v>32.03</v>
      </c>
      <c r="F26" s="24">
        <f>1.331+0.036</f>
        <v>1.367</v>
      </c>
      <c r="G26" s="24">
        <f>1.151+0.036</f>
        <v>1.1870000000000001</v>
      </c>
      <c r="H26" s="24">
        <v>350</v>
      </c>
      <c r="I26" s="24">
        <v>100.07</v>
      </c>
      <c r="J26" s="24">
        <v>1.8069999999999999</v>
      </c>
      <c r="K26" s="24">
        <f>0.881+0.036</f>
        <v>0.91700000000000004</v>
      </c>
      <c r="L26" s="24">
        <f>0.869+0.036</f>
        <v>0.90500000000000003</v>
      </c>
      <c r="M26" s="24">
        <v>1000</v>
      </c>
      <c r="N26" s="24" t="s">
        <v>15</v>
      </c>
      <c r="O26" s="24" t="s">
        <v>15</v>
      </c>
      <c r="P26" s="24" t="s">
        <v>15</v>
      </c>
      <c r="Q26" s="24" t="s">
        <v>15</v>
      </c>
      <c r="R26" s="24" t="s">
        <v>15</v>
      </c>
      <c r="S26" s="24" t="s">
        <v>15</v>
      </c>
    </row>
    <row r="27" spans="1:19" ht="15.75" x14ac:dyDescent="0.25">
      <c r="A27" s="20" t="s">
        <v>9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</row>
    <row r="28" spans="1:19" ht="15.75" x14ac:dyDescent="0.25">
      <c r="A28" s="20" t="s">
        <v>10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</row>
    <row r="29" spans="1:19" ht="15.75" x14ac:dyDescent="0.25">
      <c r="A29" s="20" t="s">
        <v>11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</row>
    <row r="30" spans="1:19" ht="15.75" x14ac:dyDescent="0.25">
      <c r="A30" s="20" t="s">
        <v>25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</row>
    <row r="31" spans="1:19" ht="15.75" x14ac:dyDescent="0.25">
      <c r="A31" s="20" t="s">
        <v>12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</row>
    <row r="32" spans="1:19" x14ac:dyDescent="0.25">
      <c r="A32" s="20" t="s">
        <v>13</v>
      </c>
    </row>
    <row r="33" spans="1:19" x14ac:dyDescent="0.25">
      <c r="A33" s="20" t="s">
        <v>28</v>
      </c>
    </row>
    <row r="34" spans="1:19" x14ac:dyDescent="0.25">
      <c r="A34" s="20" t="s">
        <v>31</v>
      </c>
    </row>
    <row r="35" spans="1:19" x14ac:dyDescent="0.25">
      <c r="A35" s="20" t="s">
        <v>26</v>
      </c>
    </row>
    <row r="36" spans="1:19" x14ac:dyDescent="0.25">
      <c r="A36" s="20" t="s">
        <v>27</v>
      </c>
    </row>
    <row r="37" spans="1:19" s="7" customFormat="1" ht="15.75" customHeight="1" x14ac:dyDescent="0.25">
      <c r="A37" s="20"/>
      <c r="B37" s="20"/>
      <c r="C37" s="20"/>
      <c r="D37" s="20"/>
      <c r="E37" s="20"/>
      <c r="F37" s="20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</row>
    <row r="38" spans="1:19" s="7" customFormat="1" ht="15.75" customHeight="1" x14ac:dyDescent="0.25">
      <c r="A38" s="20"/>
      <c r="B38" s="20"/>
      <c r="C38" s="20"/>
      <c r="D38" s="20"/>
      <c r="E38" s="20"/>
      <c r="F38" s="20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</row>
    <row r="39" spans="1:19" s="7" customFormat="1" ht="15.75" customHeight="1" x14ac:dyDescent="0.25">
      <c r="A39" s="20"/>
      <c r="B39" s="20"/>
      <c r="C39" s="20"/>
      <c r="D39" s="20"/>
      <c r="E39" s="20"/>
      <c r="F39" s="20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</row>
    <row r="40" spans="1:19" s="7" customFormat="1" ht="15.75" customHeight="1" x14ac:dyDescent="0.25">
      <c r="A40" s="20"/>
      <c r="B40" s="20"/>
      <c r="C40" s="20"/>
      <c r="D40" s="20"/>
      <c r="E40" s="20"/>
      <c r="F40" s="20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</row>
    <row r="41" spans="1:19" s="7" customFormat="1" ht="15.75" customHeight="1" x14ac:dyDescent="0.25">
      <c r="A41" s="20"/>
      <c r="B41" s="20"/>
      <c r="C41" s="20"/>
      <c r="D41" s="20"/>
      <c r="E41" s="20"/>
      <c r="F41" s="20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</row>
    <row r="42" spans="1:19" s="7" customFormat="1" ht="15.75" customHeight="1" x14ac:dyDescent="0.25">
      <c r="A42" s="20"/>
      <c r="B42" s="20"/>
      <c r="C42" s="20"/>
      <c r="D42" s="20"/>
      <c r="E42" s="20"/>
      <c r="F42" s="20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</row>
    <row r="43" spans="1:19" s="7" customFormat="1" ht="15.75" customHeight="1" x14ac:dyDescent="0.25">
      <c r="A43" s="20"/>
      <c r="B43" s="20"/>
      <c r="C43" s="20"/>
      <c r="D43" s="20"/>
      <c r="E43" s="20"/>
      <c r="F43" s="20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</row>
    <row r="44" spans="1:19" s="7" customFormat="1" ht="15.75" customHeight="1" x14ac:dyDescent="0.25">
      <c r="A44" s="20"/>
      <c r="B44" s="20"/>
      <c r="C44" s="20"/>
      <c r="D44" s="20"/>
      <c r="E44" s="20"/>
      <c r="F44" s="20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</row>
    <row r="45" spans="1:19" s="7" customFormat="1" ht="15.75" customHeight="1" x14ac:dyDescent="0.25">
      <c r="A45" s="20"/>
      <c r="B45" s="20"/>
      <c r="C45" s="20"/>
      <c r="D45" s="20"/>
      <c r="E45" s="20"/>
      <c r="F45" s="20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</row>
    <row r="46" spans="1:19" s="7" customFormat="1" ht="15.75" customHeight="1" x14ac:dyDescent="0.25">
      <c r="A46" s="20"/>
      <c r="B46" s="20"/>
      <c r="C46" s="20"/>
      <c r="D46" s="20"/>
      <c r="E46" s="20"/>
      <c r="F46" s="20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</row>
    <row r="47" spans="1:19" s="7" customFormat="1" ht="15.75" customHeight="1" x14ac:dyDescent="0.25">
      <c r="A47" s="20"/>
      <c r="B47" s="20"/>
      <c r="C47" s="20"/>
      <c r="D47" s="20"/>
      <c r="E47" s="20"/>
      <c r="F47" s="20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</row>
    <row r="48" spans="1:19" s="7" customFormat="1" ht="15.75" customHeight="1" x14ac:dyDescent="0.25">
      <c r="A48" s="20"/>
      <c r="B48" s="20"/>
      <c r="C48" s="20"/>
      <c r="D48" s="20"/>
      <c r="E48" s="20"/>
      <c r="F48" s="20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</row>
    <row r="49" spans="1:19" s="7" customFormat="1" ht="15.75" customHeight="1" x14ac:dyDescent="0.25">
      <c r="A49" s="20"/>
      <c r="B49" s="20"/>
      <c r="C49" s="20"/>
      <c r="D49" s="20"/>
      <c r="E49" s="20"/>
      <c r="F49" s="20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</row>
    <row r="50" spans="1:19" s="7" customFormat="1" ht="15.75" customHeight="1" x14ac:dyDescent="0.25">
      <c r="A50" s="20"/>
      <c r="B50" s="20"/>
      <c r="C50" s="20"/>
      <c r="D50" s="20"/>
      <c r="E50" s="20"/>
      <c r="F50" s="20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</row>
    <row r="51" spans="1:19" s="7" customFormat="1" ht="15.75" customHeight="1" x14ac:dyDescent="0.25">
      <c r="A51" s="20"/>
      <c r="B51" s="20"/>
      <c r="C51" s="20"/>
      <c r="D51" s="20"/>
      <c r="E51" s="20"/>
      <c r="F51" s="20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</row>
    <row r="52" spans="1:19" s="7" customFormat="1" ht="15.75" customHeight="1" x14ac:dyDescent="0.25">
      <c r="A52" s="20"/>
      <c r="B52" s="20"/>
      <c r="C52" s="20"/>
      <c r="D52" s="20"/>
      <c r="E52" s="20"/>
      <c r="F52" s="20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</row>
    <row r="53" spans="1:19" s="7" customFormat="1" ht="15.75" customHeight="1" x14ac:dyDescent="0.25">
      <c r="A53" s="20"/>
      <c r="B53" s="20"/>
      <c r="C53" s="20"/>
      <c r="D53" s="20"/>
      <c r="E53" s="20"/>
      <c r="F53" s="20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</row>
    <row r="54" spans="1:19" s="7" customFormat="1" ht="15.75" customHeight="1" x14ac:dyDescent="0.25">
      <c r="A54" s="20"/>
      <c r="B54" s="20"/>
      <c r="C54" s="20"/>
      <c r="D54" s="20"/>
      <c r="E54" s="20"/>
      <c r="F54" s="20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</row>
    <row r="55" spans="1:19" s="7" customFormat="1" ht="15.75" customHeight="1" x14ac:dyDescent="0.25">
      <c r="A55" s="20"/>
      <c r="B55" s="20"/>
      <c r="C55" s="20"/>
      <c r="D55" s="20"/>
      <c r="E55" s="20"/>
      <c r="F55" s="20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</row>
    <row r="56" spans="1:19" s="7" customFormat="1" ht="15.75" customHeight="1" x14ac:dyDescent="0.25">
      <c r="A56" s="20"/>
      <c r="B56" s="20"/>
      <c r="C56" s="20"/>
      <c r="D56" s="20"/>
      <c r="E56" s="20"/>
      <c r="F56" s="20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</row>
    <row r="57" spans="1:19" s="7" customFormat="1" ht="15.75" customHeight="1" x14ac:dyDescent="0.25">
      <c r="A57" s="20"/>
      <c r="B57" s="20"/>
      <c r="C57" s="20"/>
      <c r="D57" s="20"/>
      <c r="E57" s="20"/>
      <c r="F57" s="20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</row>
    <row r="58" spans="1:19" s="7" customFormat="1" ht="15.75" customHeight="1" x14ac:dyDescent="0.25">
      <c r="A58" s="20"/>
      <c r="B58" s="20"/>
      <c r="C58" s="20"/>
      <c r="D58" s="20"/>
      <c r="E58" s="20"/>
      <c r="F58" s="20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</row>
    <row r="59" spans="1:19" s="7" customFormat="1" ht="15.75" customHeight="1" x14ac:dyDescent="0.25">
      <c r="A59" s="20"/>
      <c r="B59" s="20"/>
      <c r="C59" s="20"/>
      <c r="D59" s="20"/>
      <c r="E59" s="20"/>
      <c r="F59" s="20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</row>
    <row r="60" spans="1:19" s="7" customFormat="1" ht="15.75" customHeight="1" x14ac:dyDescent="0.25">
      <c r="A60" s="20"/>
      <c r="B60" s="20"/>
      <c r="C60" s="20"/>
      <c r="D60" s="20"/>
      <c r="E60" s="20"/>
      <c r="F60" s="20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</row>
    <row r="61" spans="1:19" s="7" customFormat="1" ht="15.75" customHeight="1" x14ac:dyDescent="0.25">
      <c r="A61" s="20"/>
      <c r="B61" s="20"/>
      <c r="C61" s="20"/>
      <c r="D61" s="20"/>
      <c r="E61" s="20"/>
      <c r="F61" s="20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</row>
    <row r="62" spans="1:19" s="7" customFormat="1" ht="15.75" customHeight="1" x14ac:dyDescent="0.25">
      <c r="A62" s="20"/>
      <c r="B62" s="20"/>
      <c r="C62" s="20"/>
      <c r="D62" s="20"/>
      <c r="E62" s="20"/>
      <c r="F62" s="20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</row>
    <row r="63" spans="1:19" s="7" customFormat="1" ht="15.75" customHeight="1" x14ac:dyDescent="0.25">
      <c r="A63" s="20"/>
      <c r="B63" s="20"/>
      <c r="C63" s="20"/>
      <c r="D63" s="20"/>
      <c r="E63" s="20"/>
      <c r="F63" s="20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</row>
    <row r="64" spans="1:19" s="7" customFormat="1" ht="15.75" customHeight="1" x14ac:dyDescent="0.25">
      <c r="A64" s="20"/>
      <c r="B64" s="20"/>
      <c r="C64" s="20"/>
      <c r="D64" s="20"/>
      <c r="E64" s="20"/>
      <c r="F64" s="20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</row>
    <row r="65" spans="1:19" s="7" customFormat="1" ht="15.75" customHeight="1" x14ac:dyDescent="0.25">
      <c r="A65" s="20"/>
      <c r="B65" s="20"/>
      <c r="C65" s="20"/>
      <c r="D65" s="20"/>
      <c r="E65" s="20"/>
      <c r="F65" s="20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</row>
    <row r="66" spans="1:19" s="7" customFormat="1" ht="15.75" customHeight="1" x14ac:dyDescent="0.25">
      <c r="A66" s="20"/>
      <c r="B66" s="20"/>
      <c r="C66" s="20"/>
      <c r="D66" s="20"/>
      <c r="E66" s="20"/>
      <c r="F66" s="20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</row>
    <row r="67" spans="1:19" s="7" customFormat="1" ht="15.75" customHeight="1" x14ac:dyDescent="0.25">
      <c r="A67" s="20"/>
      <c r="B67" s="20"/>
      <c r="C67" s="20"/>
      <c r="D67" s="20"/>
      <c r="E67" s="20"/>
      <c r="F67" s="20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</row>
    <row r="68" spans="1:19" s="7" customFormat="1" ht="15.75" customHeight="1" x14ac:dyDescent="0.25">
      <c r="A68" s="20"/>
      <c r="B68" s="20"/>
      <c r="C68" s="20"/>
      <c r="D68" s="20"/>
      <c r="E68" s="20"/>
      <c r="F68" s="20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</row>
    <row r="69" spans="1:19" s="7" customFormat="1" ht="15.75" customHeight="1" x14ac:dyDescent="0.25">
      <c r="A69" s="20"/>
      <c r="B69" s="20"/>
      <c r="C69" s="20"/>
      <c r="D69" s="20"/>
      <c r="E69" s="20"/>
      <c r="F69" s="20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</row>
    <row r="70" spans="1:19" s="7" customFormat="1" ht="15.75" customHeight="1" x14ac:dyDescent="0.25">
      <c r="A70" s="20"/>
      <c r="B70" s="20"/>
      <c r="C70" s="20"/>
      <c r="D70" s="20"/>
      <c r="E70" s="20"/>
      <c r="F70" s="20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</row>
    <row r="71" spans="1:19" s="7" customFormat="1" ht="15.75" customHeight="1" x14ac:dyDescent="0.25">
      <c r="A71" s="20"/>
      <c r="B71" s="20"/>
      <c r="C71" s="20"/>
      <c r="D71" s="20"/>
      <c r="E71" s="20"/>
      <c r="F71" s="20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</row>
    <row r="72" spans="1:19" s="7" customFormat="1" ht="15.75" customHeight="1" x14ac:dyDescent="0.25">
      <c r="A72" s="20"/>
      <c r="B72" s="20"/>
      <c r="C72" s="20"/>
      <c r="D72" s="20"/>
      <c r="E72" s="20"/>
      <c r="F72" s="20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</row>
    <row r="73" spans="1:19" s="7" customFormat="1" ht="15.75" customHeight="1" x14ac:dyDescent="0.25">
      <c r="A73" s="20"/>
      <c r="B73" s="20"/>
      <c r="C73" s="20"/>
      <c r="D73" s="20"/>
      <c r="E73" s="20"/>
      <c r="F73" s="20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</row>
    <row r="74" spans="1:19" s="7" customFormat="1" ht="15.75" customHeight="1" x14ac:dyDescent="0.25">
      <c r="A74" s="20"/>
      <c r="B74" s="20"/>
      <c r="C74" s="20"/>
      <c r="D74" s="20"/>
      <c r="E74" s="20"/>
      <c r="F74" s="20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</row>
    <row r="75" spans="1:19" s="7" customFormat="1" ht="15.75" customHeight="1" x14ac:dyDescent="0.25">
      <c r="A75" s="20"/>
      <c r="B75" s="20"/>
      <c r="C75" s="20"/>
      <c r="D75" s="20"/>
      <c r="E75" s="20"/>
      <c r="F75" s="20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</row>
    <row r="76" spans="1:19" s="7" customFormat="1" ht="15.75" customHeight="1" x14ac:dyDescent="0.25">
      <c r="A76" s="20"/>
      <c r="B76" s="20"/>
      <c r="C76" s="20"/>
      <c r="D76" s="20"/>
      <c r="E76" s="20"/>
      <c r="F76" s="20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</row>
    <row r="77" spans="1:19" s="7" customFormat="1" ht="15.75" customHeight="1" x14ac:dyDescent="0.25">
      <c r="A77" s="20"/>
      <c r="B77" s="20"/>
      <c r="C77" s="20"/>
      <c r="D77" s="20"/>
      <c r="E77" s="20"/>
      <c r="F77" s="20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</row>
    <row r="78" spans="1:19" s="7" customFormat="1" ht="15.75" customHeight="1" x14ac:dyDescent="0.25">
      <c r="A78" s="20"/>
      <c r="B78" s="20"/>
      <c r="C78" s="20"/>
      <c r="D78" s="20"/>
      <c r="E78" s="20"/>
      <c r="F78" s="20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</row>
    <row r="79" spans="1:19" s="7" customFormat="1" ht="15.75" customHeight="1" x14ac:dyDescent="0.25">
      <c r="A79" s="20"/>
      <c r="B79" s="20"/>
      <c r="C79" s="20"/>
      <c r="D79" s="20"/>
      <c r="E79" s="20"/>
      <c r="F79" s="20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</row>
    <row r="80" spans="1:19" s="7" customFormat="1" ht="15.75" customHeight="1" x14ac:dyDescent="0.25">
      <c r="A80" s="20"/>
      <c r="B80" s="20"/>
      <c r="C80" s="20"/>
      <c r="D80" s="20"/>
      <c r="E80" s="20"/>
      <c r="F80" s="20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</row>
    <row r="81" spans="1:19" s="7" customFormat="1" ht="15.75" customHeight="1" x14ac:dyDescent="0.25">
      <c r="A81" s="20"/>
      <c r="B81" s="20"/>
      <c r="C81" s="20"/>
      <c r="D81" s="20"/>
      <c r="E81" s="20"/>
      <c r="F81" s="20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</row>
    <row r="82" spans="1:19" s="7" customFormat="1" ht="15.75" customHeight="1" x14ac:dyDescent="0.25">
      <c r="A82" s="20"/>
      <c r="B82" s="20"/>
      <c r="C82" s="20"/>
      <c r="D82" s="20"/>
      <c r="E82" s="20"/>
      <c r="F82" s="20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</row>
    <row r="83" spans="1:19" s="7" customFormat="1" ht="15.75" customHeight="1" x14ac:dyDescent="0.25">
      <c r="A83" s="20"/>
      <c r="B83" s="20"/>
      <c r="C83" s="20"/>
      <c r="D83" s="20"/>
      <c r="E83" s="20"/>
      <c r="F83" s="20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</row>
    <row r="84" spans="1:19" s="7" customFormat="1" ht="15.75" customHeight="1" x14ac:dyDescent="0.25">
      <c r="A84" s="20"/>
      <c r="B84" s="20"/>
      <c r="C84" s="20"/>
      <c r="D84" s="20"/>
      <c r="E84" s="20"/>
      <c r="F84" s="20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</row>
    <row r="85" spans="1:19" s="7" customFormat="1" ht="15.75" customHeight="1" x14ac:dyDescent="0.25">
      <c r="A85" s="20"/>
      <c r="B85" s="20"/>
      <c r="C85" s="20"/>
      <c r="D85" s="20"/>
      <c r="E85" s="20"/>
      <c r="F85" s="20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</row>
    <row r="86" spans="1:19" s="7" customFormat="1" ht="15.75" customHeight="1" x14ac:dyDescent="0.25">
      <c r="A86" s="20"/>
      <c r="B86" s="20"/>
      <c r="C86" s="20"/>
      <c r="D86" s="20"/>
      <c r="E86" s="20"/>
      <c r="F86" s="20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</row>
    <row r="87" spans="1:19" s="7" customFormat="1" ht="15.75" customHeight="1" x14ac:dyDescent="0.25">
      <c r="A87" s="20"/>
      <c r="B87" s="20"/>
      <c r="C87" s="20"/>
      <c r="D87" s="20"/>
      <c r="E87" s="20"/>
      <c r="F87" s="20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</row>
    <row r="88" spans="1:19" s="7" customFormat="1" ht="15.75" customHeight="1" x14ac:dyDescent="0.25">
      <c r="A88" s="20"/>
      <c r="B88" s="20"/>
      <c r="C88" s="20"/>
      <c r="D88" s="20"/>
      <c r="E88" s="20"/>
      <c r="F88" s="20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</row>
    <row r="89" spans="1:19" s="7" customFormat="1" ht="15.75" customHeight="1" x14ac:dyDescent="0.25">
      <c r="A89" s="20"/>
      <c r="B89" s="20"/>
      <c r="C89" s="20"/>
      <c r="D89" s="20"/>
      <c r="E89" s="20"/>
      <c r="F89" s="20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</row>
    <row r="90" spans="1:19" s="7" customFormat="1" ht="15.75" customHeight="1" x14ac:dyDescent="0.25">
      <c r="A90" s="20"/>
      <c r="B90" s="20"/>
      <c r="C90" s="20"/>
      <c r="D90" s="20"/>
      <c r="E90" s="20"/>
      <c r="F90" s="20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</row>
    <row r="91" spans="1:19" s="7" customFormat="1" ht="15.75" customHeight="1" x14ac:dyDescent="0.25">
      <c r="A91" s="20"/>
      <c r="B91" s="20"/>
      <c r="C91" s="20"/>
      <c r="D91" s="20"/>
      <c r="E91" s="20"/>
      <c r="F91" s="20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</row>
    <row r="92" spans="1:19" s="7" customFormat="1" ht="15.75" customHeight="1" x14ac:dyDescent="0.25">
      <c r="A92" s="20"/>
      <c r="B92" s="20"/>
      <c r="C92" s="20"/>
      <c r="D92" s="20"/>
      <c r="E92" s="20"/>
      <c r="F92" s="20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</row>
    <row r="93" spans="1:19" s="7" customFormat="1" ht="15.75" customHeight="1" x14ac:dyDescent="0.25">
      <c r="A93" s="20"/>
      <c r="B93" s="20"/>
      <c r="C93" s="20"/>
      <c r="D93" s="20"/>
      <c r="E93" s="20"/>
      <c r="F93" s="20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</row>
    <row r="94" spans="1:19" s="7" customFormat="1" ht="15.75" customHeight="1" x14ac:dyDescent="0.25">
      <c r="A94" s="20"/>
      <c r="B94" s="20"/>
      <c r="C94" s="20"/>
      <c r="D94" s="20"/>
      <c r="E94" s="20"/>
      <c r="F94" s="20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</row>
    <row r="95" spans="1:19" s="7" customFormat="1" ht="15.75" customHeight="1" x14ac:dyDescent="0.25">
      <c r="A95" s="20"/>
      <c r="B95" s="20"/>
      <c r="C95" s="20"/>
      <c r="D95" s="20"/>
      <c r="E95" s="20"/>
      <c r="F95" s="20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</row>
    <row r="96" spans="1:19" ht="15.75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</row>
  </sheetData>
  <mergeCells count="6">
    <mergeCell ref="Q4:S4"/>
    <mergeCell ref="A4:A5"/>
    <mergeCell ref="B4:D4"/>
    <mergeCell ref="E4:H4"/>
    <mergeCell ref="I4:M4"/>
    <mergeCell ref="N4:P4"/>
  </mergeCells>
  <printOptions horizontalCentered="1" verticalCentered="1"/>
  <pageMargins left="3.937007874015748E-2" right="3.937007874015748E-2" top="0.35433070866141736" bottom="0.35433070866141736" header="0.11811023622047245" footer="0.11811023622047245"/>
  <pageSetup paperSize="9" scale="53" firstPageNumber="0" orientation="landscape" horizontalDpi="300" verticalDpi="300" r:id="rId1"/>
  <customProperties>
    <customPr name="GUID" r:id="rId2"/>
  </customProperties>
  <ignoredErrors>
    <ignoredError sqref="F12:G12" formula="1"/>
  </ignoredError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12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Sur1</vt:lpstr>
      <vt:lpstr>Sur2</vt:lpstr>
      <vt:lpstr>Norte1</vt:lpstr>
      <vt:lpstr>Norte2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Claudio Castro</dc:creator>
  <cp:lastModifiedBy>Sebastían Kruk</cp:lastModifiedBy>
  <cp:revision>4</cp:revision>
  <cp:lastPrinted>2019-07-25T16:26:50Z</cp:lastPrinted>
  <dcterms:created xsi:type="dcterms:W3CDTF">2014-08-08T15:10:41Z</dcterms:created>
  <dcterms:modified xsi:type="dcterms:W3CDTF">2022-11-30T14:03:02Z</dcterms:modified>
  <dc:language>es-UY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